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ushiogrp-my.sharepoint.com/personal/otsukamk_ushio_co_jp/Documents/00_作業中ファイル/ファクトシート/"/>
    </mc:Choice>
  </mc:AlternateContent>
  <xr:revisionPtr revIDLastSave="48" documentId="8_{8FCBAA53-733F-4790-A3B3-22C17B2360A0}" xr6:coauthVersionLast="47" xr6:coauthVersionMax="47" xr10:uidLastSave="{62A791AB-266A-4F3B-B40C-F4C6EB22DAEB}"/>
  <bookViews>
    <workbookView xWindow="28680" yWindow="-120" windowWidth="29040" windowHeight="15720" firstSheet="1" activeTab="3" xr2:uid="{5BA7460F-E523-45B4-B27D-FD28A0A197A0}"/>
  </bookViews>
  <sheets>
    <sheet name="セグメント情報（年度別）_2022年度以降" sheetId="1" r:id="rId1"/>
    <sheet name="セグメント情報（四半期）_2022年度以降" sheetId="8" r:id="rId2"/>
    <sheet name="旧セグメント情報（年度別）_2022年度以前" sheetId="6" r:id="rId3"/>
    <sheet name="旧セグメント情報（四半期）_2022年度以前"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14" i="7" l="1"/>
  <c r="CD14" i="7" l="1"/>
  <c r="BD34" i="7"/>
  <c r="BH33" i="7"/>
  <c r="BH34" i="7" s="1"/>
  <c r="BD17" i="7"/>
  <c r="BD18" i="7" s="1"/>
  <c r="BD9" i="7"/>
  <c r="CN14" i="7"/>
  <c r="CN13" i="7"/>
  <c r="CO13" i="7" s="1"/>
  <c r="CP13" i="7" s="1"/>
  <c r="CN12" i="7"/>
  <c r="CO12" i="7" s="1"/>
  <c r="CP12" i="7" s="1"/>
  <c r="CK14" i="7"/>
  <c r="CJ13" i="7"/>
  <c r="CK13" i="7" s="1"/>
  <c r="CJ12" i="7"/>
  <c r="CK12" i="7" s="1"/>
  <c r="CF13" i="7"/>
  <c r="CG13" i="7" s="1"/>
  <c r="CF12" i="7"/>
  <c r="CG12" i="7" s="1"/>
  <c r="CF14" i="7"/>
  <c r="CG14" i="7" s="1"/>
  <c r="CB14" i="7"/>
  <c r="CC14" i="7" s="1"/>
  <c r="CB13" i="7"/>
  <c r="CC13" i="7" s="1"/>
  <c r="CB12" i="7"/>
  <c r="CC12" i="7" s="1"/>
  <c r="BH17" i="7"/>
  <c r="BH18" i="7" s="1"/>
  <c r="BH9" i="7"/>
  <c r="BH10" i="7" s="1"/>
  <c r="BD10" i="7"/>
  <c r="AR17" i="7"/>
  <c r="AR9" i="7"/>
  <c r="Q22" i="8"/>
  <c r="Q16" i="8"/>
  <c r="P27" i="8"/>
  <c r="Q27" i="8" s="1"/>
  <c r="P26" i="8"/>
  <c r="Q26" i="8" s="1"/>
  <c r="P25" i="8"/>
  <c r="Q25" i="8" s="1"/>
  <c r="P24" i="8"/>
  <c r="Q24" i="8" s="1"/>
  <c r="P23" i="8"/>
  <c r="Q23" i="8" s="1"/>
  <c r="P22" i="8"/>
  <c r="P16" i="8"/>
  <c r="P15" i="8"/>
  <c r="Q15" i="8" s="1"/>
  <c r="P14" i="8"/>
  <c r="Q14" i="8" s="1"/>
  <c r="P13" i="8"/>
  <c r="Q13" i="8" s="1"/>
  <c r="P12" i="8"/>
  <c r="Q12" i="8" s="1"/>
  <c r="P11" i="8"/>
  <c r="Q11" i="8" s="1"/>
  <c r="P10" i="8"/>
  <c r="Q10" i="8" s="1"/>
  <c r="L27" i="8"/>
  <c r="M27" i="8" s="1"/>
  <c r="L26" i="8"/>
  <c r="L25" i="8"/>
  <c r="M25" i="8" s="1"/>
  <c r="L24" i="8"/>
  <c r="M24" i="8" s="1"/>
  <c r="L23" i="8"/>
  <c r="M23" i="8" s="1"/>
  <c r="L22" i="8"/>
  <c r="M22" i="8" s="1"/>
  <c r="L16" i="8"/>
  <c r="M16" i="8" s="1"/>
  <c r="N16" i="8" s="1"/>
  <c r="L15" i="8"/>
  <c r="M15" i="8" s="1"/>
  <c r="N15" i="8" s="1"/>
  <c r="L14" i="8"/>
  <c r="L13" i="8"/>
  <c r="M13" i="8" s="1"/>
  <c r="L12" i="8"/>
  <c r="L11" i="8"/>
  <c r="M11" i="8" s="1"/>
  <c r="L10" i="8"/>
  <c r="M10" i="8" s="1"/>
  <c r="H27" i="8"/>
  <c r="H26" i="8"/>
  <c r="I26" i="8" s="1"/>
  <c r="H25" i="8"/>
  <c r="I25" i="8" s="1"/>
  <c r="J25" i="8" s="1"/>
  <c r="H24" i="8"/>
  <c r="H23" i="8"/>
  <c r="I23" i="8" s="1"/>
  <c r="J23" i="8" s="1"/>
  <c r="H22" i="8"/>
  <c r="H16" i="8"/>
  <c r="I16" i="8" s="1"/>
  <c r="H15" i="8"/>
  <c r="H14" i="8"/>
  <c r="H13" i="8"/>
  <c r="I13" i="8" s="1"/>
  <c r="H12" i="8"/>
  <c r="I12" i="8" s="1"/>
  <c r="J12" i="8" s="1"/>
  <c r="H11" i="8"/>
  <c r="H10" i="8"/>
  <c r="I10" i="8" s="1"/>
  <c r="J10" i="8" s="1"/>
  <c r="D27" i="8"/>
  <c r="E27" i="8" s="1"/>
  <c r="F27" i="8" s="1"/>
  <c r="D26" i="8"/>
  <c r="D25" i="8"/>
  <c r="D24" i="8"/>
  <c r="D23" i="8"/>
  <c r="E23" i="8" s="1"/>
  <c r="D22" i="8"/>
  <c r="E22" i="8" s="1"/>
  <c r="F22" i="8" s="1"/>
  <c r="D16" i="8"/>
  <c r="D15" i="8"/>
  <c r="E15" i="8" s="1"/>
  <c r="D14" i="8"/>
  <c r="E14" i="8" s="1"/>
  <c r="F14" i="8" s="1"/>
  <c r="D13" i="8"/>
  <c r="D12" i="8"/>
  <c r="D11" i="8"/>
  <c r="D10" i="8"/>
  <c r="E10" i="8" s="1"/>
  <c r="F10" i="8" s="1"/>
  <c r="CO14" i="7" l="1"/>
  <c r="CP14" i="7" s="1"/>
  <c r="CL12" i="7"/>
  <c r="CL13" i="7"/>
  <c r="CL14" i="7"/>
  <c r="CH12" i="7"/>
  <c r="CH14" i="7"/>
  <c r="CH13" i="7"/>
  <c r="CD12" i="7"/>
  <c r="CD13" i="7"/>
  <c r="N13" i="8"/>
  <c r="N27" i="8"/>
  <c r="M12" i="8"/>
  <c r="N12" i="8" s="1"/>
  <c r="M14" i="8"/>
  <c r="N14" i="8" s="1"/>
  <c r="N25" i="8"/>
  <c r="M26" i="8"/>
  <c r="N26" i="8" s="1"/>
  <c r="N22" i="8"/>
  <c r="N10" i="8"/>
  <c r="N23" i="8"/>
  <c r="N11" i="8"/>
  <c r="N24" i="8"/>
  <c r="I22" i="8"/>
  <c r="J22" i="8" s="1"/>
  <c r="J16" i="8"/>
  <c r="I14" i="8"/>
  <c r="J14" i="8" s="1"/>
  <c r="I15" i="8"/>
  <c r="J15" i="8" s="1"/>
  <c r="I27" i="8"/>
  <c r="J27" i="8" s="1"/>
  <c r="J13" i="8"/>
  <c r="I11" i="8"/>
  <c r="J11" i="8" s="1"/>
  <c r="I24" i="8"/>
  <c r="J24" i="8" s="1"/>
  <c r="J26" i="8"/>
  <c r="E16" i="8"/>
  <c r="F16" i="8" s="1"/>
  <c r="F15" i="8"/>
  <c r="E26" i="8"/>
  <c r="F26" i="8" s="1"/>
  <c r="E11" i="8"/>
  <c r="F11" i="8" s="1"/>
  <c r="E24" i="8"/>
  <c r="F24" i="8" s="1"/>
  <c r="E12" i="8"/>
  <c r="F12" i="8" s="1"/>
  <c r="E25" i="8"/>
  <c r="F25" i="8" s="1"/>
  <c r="F23" i="8"/>
  <c r="E13" i="8"/>
  <c r="F13" i="8" s="1"/>
  <c r="H34" i="6"/>
  <c r="Q16" i="6"/>
  <c r="X28" i="6"/>
</calcChain>
</file>

<file path=xl/sharedStrings.xml><?xml version="1.0" encoding="utf-8"?>
<sst xmlns="http://schemas.openxmlformats.org/spreadsheetml/2006/main" count="1722" uniqueCount="114">
  <si>
    <t>Industrial Process事業</t>
    <rPh sb="18" eb="20">
      <t>ジギョウ</t>
    </rPh>
    <phoneticPr fontId="2"/>
  </si>
  <si>
    <t>Life Science事業</t>
    <rPh sb="12" eb="14">
      <t>ジギョウ</t>
    </rPh>
    <phoneticPr fontId="2"/>
  </si>
  <si>
    <t>（年度）</t>
    <rPh sb="1" eb="3">
      <t>ネンド</t>
    </rPh>
    <phoneticPr fontId="2"/>
  </si>
  <si>
    <t>Photonics Solution事業</t>
    <phoneticPr fontId="2"/>
  </si>
  <si>
    <t>売上高</t>
    <rPh sb="0" eb="3">
      <t>ウリアゲダカ</t>
    </rPh>
    <phoneticPr fontId="2"/>
  </si>
  <si>
    <t>Visual Imaging事業</t>
    <phoneticPr fontId="2"/>
  </si>
  <si>
    <t>営業利益</t>
    <rPh sb="0" eb="4">
      <t>エイギョウリエキ</t>
    </rPh>
    <phoneticPr fontId="2"/>
  </si>
  <si>
    <t>営業利益率</t>
    <rPh sb="0" eb="5">
      <t>エイギョウリエキリツ</t>
    </rPh>
    <phoneticPr fontId="2"/>
  </si>
  <si>
    <t xml:space="preserve"> </t>
    <phoneticPr fontId="2"/>
  </si>
  <si>
    <t>セグメント情報（単位：億円）</t>
    <rPh sb="5" eb="7">
      <t>ジョウホウ</t>
    </rPh>
    <rPh sb="8" eb="10">
      <t>タンイ</t>
    </rPh>
    <rPh sb="11" eb="13">
      <t>オクエン</t>
    </rPh>
    <phoneticPr fontId="2"/>
  </si>
  <si>
    <t>その他</t>
    <rPh sb="2" eb="3">
      <t>タ</t>
    </rPh>
    <phoneticPr fontId="2"/>
  </si>
  <si>
    <t>連結合計</t>
    <rPh sb="0" eb="4">
      <t>レンケツゴウケイ</t>
    </rPh>
    <phoneticPr fontId="2"/>
  </si>
  <si>
    <t>サブセグメント別売上高</t>
    <rPh sb="7" eb="8">
      <t>ベツ</t>
    </rPh>
    <rPh sb="8" eb="11">
      <t>ウリアゲダカ</t>
    </rPh>
    <phoneticPr fontId="2"/>
  </si>
  <si>
    <t>露光用ランプ</t>
    <rPh sb="0" eb="3">
      <t>ロコウヨウ</t>
    </rPh>
    <phoneticPr fontId="2"/>
  </si>
  <si>
    <t>OA用ランプ</t>
    <rPh sb="2" eb="3">
      <t>ヨウ</t>
    </rPh>
    <phoneticPr fontId="2"/>
  </si>
  <si>
    <t>光学機器用ランプ</t>
    <rPh sb="0" eb="5">
      <t>コウガクキキヨウ</t>
    </rPh>
    <phoneticPr fontId="2"/>
  </si>
  <si>
    <t>光源事業合計</t>
    <rPh sb="0" eb="6">
      <t>コウゲンジギョウゴウケイ</t>
    </rPh>
    <phoneticPr fontId="2"/>
  </si>
  <si>
    <t>露光装置</t>
    <rPh sb="0" eb="4">
      <t>ロコウソウチ</t>
    </rPh>
    <phoneticPr fontId="2"/>
  </si>
  <si>
    <t>光学装置その他</t>
    <rPh sb="0" eb="2">
      <t>コウガク</t>
    </rPh>
    <rPh sb="2" eb="4">
      <t>ソウチ</t>
    </rPh>
    <rPh sb="6" eb="7">
      <t>タ</t>
    </rPh>
    <phoneticPr fontId="2"/>
  </si>
  <si>
    <t>光学装置事業合計</t>
    <rPh sb="0" eb="8">
      <t>コウガクソウチジギョウゴウケイ</t>
    </rPh>
    <phoneticPr fontId="2"/>
  </si>
  <si>
    <t>プロジェクター用ランプ</t>
    <rPh sb="7" eb="8">
      <t>ヨウ</t>
    </rPh>
    <phoneticPr fontId="2"/>
  </si>
  <si>
    <t>照明用ランプ</t>
    <rPh sb="0" eb="3">
      <t>ショウメイヨウ</t>
    </rPh>
    <phoneticPr fontId="2"/>
  </si>
  <si>
    <t>光源事業合計</t>
    <rPh sb="0" eb="4">
      <t>コウゲンジギョウ</t>
    </rPh>
    <rPh sb="4" eb="6">
      <t>ゴウケイ</t>
    </rPh>
    <phoneticPr fontId="2"/>
  </si>
  <si>
    <t>シネマ</t>
    <phoneticPr fontId="2"/>
  </si>
  <si>
    <t>一般映像</t>
    <rPh sb="0" eb="4">
      <t>イッパンエイゾウ</t>
    </rPh>
    <phoneticPr fontId="2"/>
  </si>
  <si>
    <t>映像装置事業合計</t>
    <rPh sb="0" eb="8">
      <t>エイゾウソウチジギョウゴウケイ</t>
    </rPh>
    <phoneticPr fontId="2"/>
  </si>
  <si>
    <t>2025
(見通し）</t>
    <rPh sb="6" eb="8">
      <t>ミトオ</t>
    </rPh>
    <phoneticPr fontId="2"/>
  </si>
  <si>
    <t>Q1</t>
    <phoneticPr fontId="2"/>
  </si>
  <si>
    <t>Q2</t>
    <phoneticPr fontId="2"/>
  </si>
  <si>
    <t>Q3</t>
    <phoneticPr fontId="2"/>
  </si>
  <si>
    <t>Q4</t>
    <phoneticPr fontId="2"/>
  </si>
  <si>
    <t>旧セグメント情報（単位：億円）</t>
    <rPh sb="0" eb="1">
      <t>キュウ</t>
    </rPh>
    <rPh sb="6" eb="8">
      <t>ジョウホウ</t>
    </rPh>
    <rPh sb="9" eb="11">
      <t>タンイ</t>
    </rPh>
    <rPh sb="12" eb="14">
      <t>オクエン</t>
    </rPh>
    <phoneticPr fontId="2"/>
  </si>
  <si>
    <t>光学装置事業</t>
    <rPh sb="0" eb="6">
      <t>コウガクソウチジギョウ</t>
    </rPh>
    <phoneticPr fontId="2"/>
  </si>
  <si>
    <t>▲0</t>
    <phoneticPr fontId="2"/>
  </si>
  <si>
    <t>全社・消去(営業利益)</t>
    <rPh sb="0" eb="2">
      <t>ゼンシャ</t>
    </rPh>
    <rPh sb="3" eb="5">
      <t>ショウキョ</t>
    </rPh>
    <rPh sb="6" eb="10">
      <t>エイギョウリエキ</t>
    </rPh>
    <phoneticPr fontId="2"/>
  </si>
  <si>
    <t>▲0.0%</t>
    <phoneticPr fontId="2"/>
  </si>
  <si>
    <t>光学装置</t>
    <rPh sb="0" eb="2">
      <t>コウガク</t>
    </rPh>
    <rPh sb="2" eb="4">
      <t>ソウチ</t>
    </rPh>
    <phoneticPr fontId="2"/>
  </si>
  <si>
    <t>映像装置</t>
    <rPh sb="0" eb="4">
      <t>エイゾウソウチ</t>
    </rPh>
    <phoneticPr fontId="2"/>
  </si>
  <si>
    <t>照明装置他</t>
    <rPh sb="0" eb="5">
      <t>ショウメイソウチホカ</t>
    </rPh>
    <phoneticPr fontId="2"/>
  </si>
  <si>
    <t>-</t>
    <phoneticPr fontId="2"/>
  </si>
  <si>
    <t>装置事業</t>
    <rPh sb="0" eb="2">
      <t>ソウチ</t>
    </rPh>
    <rPh sb="2" eb="4">
      <t>ジギョウ</t>
    </rPh>
    <phoneticPr fontId="2"/>
  </si>
  <si>
    <t>▲0.0％</t>
    <phoneticPr fontId="2"/>
  </si>
  <si>
    <t>-</t>
    <phoneticPr fontId="2"/>
  </si>
  <si>
    <t>サブセグメント別売上高 *2</t>
    <rPh sb="7" eb="8">
      <t>ベツ</t>
    </rPh>
    <rPh sb="8" eb="11">
      <t>ウリアゲダカ</t>
    </rPh>
    <phoneticPr fontId="2"/>
  </si>
  <si>
    <t>全社・消去(営業利益) *1</t>
    <rPh sb="0" eb="2">
      <t>ゼンシャ</t>
    </rPh>
    <rPh sb="3" eb="5">
      <t>ショウキョ</t>
    </rPh>
    <rPh sb="6" eb="10">
      <t>エイギョウリエキ</t>
    </rPh>
    <phoneticPr fontId="2"/>
  </si>
  <si>
    <t>-</t>
    <phoneticPr fontId="2"/>
  </si>
  <si>
    <t>注：売上高は外部顧客への売上高を、営業利益率は外部顧客売上高に対する営業利益率を記載しております。</t>
    <rPh sb="40" eb="42">
      <t>キサイ</t>
    </rPh>
    <phoneticPr fontId="2"/>
  </si>
  <si>
    <t>注：過去資料において決算短信と決算説明資料の数値に四捨五入による差分が見られた場合は、決算短信の数値を優先して記載おります。</t>
    <rPh sb="0" eb="1">
      <t>チュウ</t>
    </rPh>
    <rPh sb="2" eb="6">
      <t>カコシリョウ</t>
    </rPh>
    <rPh sb="10" eb="14">
      <t>ケッサンタンシン</t>
    </rPh>
    <rPh sb="15" eb="21">
      <t>ケッサンセツメイシリョウ</t>
    </rPh>
    <rPh sb="22" eb="24">
      <t>スウチ</t>
    </rPh>
    <rPh sb="25" eb="29">
      <t>シシャゴニュウ</t>
    </rPh>
    <rPh sb="32" eb="34">
      <t>サブン</t>
    </rPh>
    <rPh sb="35" eb="36">
      <t>ミ</t>
    </rPh>
    <rPh sb="39" eb="41">
      <t>バアイ</t>
    </rPh>
    <rPh sb="43" eb="47">
      <t>ケッサンタンシン</t>
    </rPh>
    <rPh sb="48" eb="50">
      <t>スウチ</t>
    </rPh>
    <rPh sb="51" eb="53">
      <t>ユウセン</t>
    </rPh>
    <rPh sb="55" eb="57">
      <t>キサイ</t>
    </rPh>
    <phoneticPr fontId="2"/>
  </si>
  <si>
    <t>映像装置事業*2</t>
    <rPh sb="0" eb="6">
      <t>エイゾウソウチジギョウ</t>
    </rPh>
    <phoneticPr fontId="2"/>
  </si>
  <si>
    <t>*2 映像装置事業には、2018年度までの「装置事業ー照明装置他」が含まれます。</t>
    <phoneticPr fontId="2"/>
  </si>
  <si>
    <t>光源事業 *1</t>
    <rPh sb="0" eb="4">
      <t>コウゲンジギョウ</t>
    </rPh>
    <phoneticPr fontId="2"/>
  </si>
  <si>
    <t>*1 2009年度までの開示セグメント名称は「管球事業」になります。</t>
    <rPh sb="7" eb="9">
      <t>ネンド</t>
    </rPh>
    <rPh sb="12" eb="14">
      <t>カイジ</t>
    </rPh>
    <phoneticPr fontId="2"/>
  </si>
  <si>
    <t>映像装置事業 *2</t>
    <rPh sb="0" eb="6">
      <t>エイゾウソウチジギョウ</t>
    </rPh>
    <phoneticPr fontId="2"/>
  </si>
  <si>
    <t>その他 *3</t>
    <rPh sb="2" eb="3">
      <t>タ</t>
    </rPh>
    <phoneticPr fontId="2"/>
  </si>
  <si>
    <t>放電ランプ *4</t>
    <rPh sb="0" eb="2">
      <t>ホウデン</t>
    </rPh>
    <phoneticPr fontId="2"/>
  </si>
  <si>
    <t>ハロゲンランプ *5</t>
    <phoneticPr fontId="2"/>
  </si>
  <si>
    <t>*4 2010年度までの開示セグメント名称は「放電灯」になります。</t>
    <rPh sb="7" eb="9">
      <t>ネンド</t>
    </rPh>
    <rPh sb="12" eb="14">
      <t>カイジ</t>
    </rPh>
    <rPh sb="23" eb="26">
      <t>ホウデントウ</t>
    </rPh>
    <phoneticPr fontId="2"/>
  </si>
  <si>
    <t>*5 2010年度までの開示セグメント名称は「ハロゲン」になります。</t>
    <rPh sb="7" eb="9">
      <t>ネンド</t>
    </rPh>
    <rPh sb="12" eb="14">
      <t>カイジ</t>
    </rPh>
    <rPh sb="19" eb="21">
      <t>メイショウ</t>
    </rPh>
    <phoneticPr fontId="2"/>
  </si>
  <si>
    <t>全社・消去(営業利益)*4</t>
    <rPh sb="0" eb="2">
      <t>ゼンシャ</t>
    </rPh>
    <rPh sb="3" eb="5">
      <t>ショウキョ</t>
    </rPh>
    <rPh sb="6" eb="10">
      <t>エイギョウリエキ</t>
    </rPh>
    <phoneticPr fontId="2"/>
  </si>
  <si>
    <t>その他*3</t>
    <rPh sb="2" eb="3">
      <t>タ</t>
    </rPh>
    <phoneticPr fontId="2"/>
  </si>
  <si>
    <t>*3 2010年度までの開示セグメント名称は「産業機械・その他」になります。</t>
    <rPh sb="11" eb="13">
      <t>カイジ</t>
    </rPh>
    <phoneticPr fontId="2"/>
  </si>
  <si>
    <t>*6 固体光源には、2018年度までの「放電ランプ」の一部が含まれます。</t>
    <rPh sb="3" eb="7">
      <t>コタイコウゲン</t>
    </rPh>
    <rPh sb="20" eb="22">
      <t>ホウデン</t>
    </rPh>
    <rPh sb="27" eb="29">
      <t>イチブ</t>
    </rPh>
    <phoneticPr fontId="2"/>
  </si>
  <si>
    <t>固体光源 *6</t>
    <rPh sb="0" eb="4">
      <t>コタイコウゲン</t>
    </rPh>
    <phoneticPr fontId="2"/>
  </si>
  <si>
    <t>*11 決算短信及び有価証券報告書上の開示セグメントは「光応用製品事業」「産業機械およびその他事業」になります。</t>
    <rPh sb="10" eb="17">
      <t>ユウカショウケンホウコクショ</t>
    </rPh>
    <rPh sb="19" eb="21">
      <t>カイジ</t>
    </rPh>
    <phoneticPr fontId="2"/>
  </si>
  <si>
    <t>*10 事業別売上高及びサブセグメント別売上高は2011年３月期の決算説明資料データより転記しております。</t>
    <rPh sb="44" eb="46">
      <t>テンキ</t>
    </rPh>
    <phoneticPr fontId="2"/>
  </si>
  <si>
    <t>*9 事業別売上高及びサブセグメント別売上高は2007年３月期の決算説明資料データより転記しております。</t>
    <rPh sb="43" eb="45">
      <t>テンキ</t>
    </rPh>
    <phoneticPr fontId="2"/>
  </si>
  <si>
    <t>*8 数値は2002年3月期有価証券報告書より転記しております。</t>
    <rPh sb="23" eb="25">
      <t>テンキ</t>
    </rPh>
    <phoneticPr fontId="2"/>
  </si>
  <si>
    <t>*2 映像装置事業には、2018年度までの「装置事業ー照明装置他」が含まれます。</t>
    <phoneticPr fontId="2"/>
  </si>
  <si>
    <t>（年度）</t>
  </si>
  <si>
    <t>（年度）</t>
    <phoneticPr fontId="2"/>
  </si>
  <si>
    <t>注記番号</t>
    <rPh sb="0" eb="4">
      <t>チュウキバンゴウ</t>
    </rPh>
    <phoneticPr fontId="2"/>
  </si>
  <si>
    <t>*7, *8</t>
    <phoneticPr fontId="2"/>
  </si>
  <si>
    <t>*7</t>
    <phoneticPr fontId="2"/>
  </si>
  <si>
    <t>*7, *9</t>
  </si>
  <si>
    <t>*7, *9</t>
    <phoneticPr fontId="2"/>
  </si>
  <si>
    <t>*7, *10</t>
    <phoneticPr fontId="2"/>
  </si>
  <si>
    <t>*10</t>
    <phoneticPr fontId="2"/>
  </si>
  <si>
    <t>*10, *11</t>
    <phoneticPr fontId="2"/>
  </si>
  <si>
    <t>*10, *12</t>
    <phoneticPr fontId="2"/>
  </si>
  <si>
    <t>注記事項</t>
    <rPh sb="0" eb="4">
      <t>チュウキジコウ</t>
    </rPh>
    <phoneticPr fontId="2"/>
  </si>
  <si>
    <t>Q2</t>
    <phoneticPr fontId="2"/>
  </si>
  <si>
    <t>Q3</t>
    <phoneticPr fontId="2"/>
  </si>
  <si>
    <t>Q4</t>
    <phoneticPr fontId="2"/>
  </si>
  <si>
    <t>*12</t>
    <phoneticPr fontId="2"/>
  </si>
  <si>
    <t>*16</t>
    <phoneticPr fontId="2"/>
  </si>
  <si>
    <t xml:space="preserve">サブセグメント別売上高 </t>
    <rPh sb="7" eb="8">
      <t>ベツ</t>
    </rPh>
    <rPh sb="8" eb="11">
      <t>ウリアゲダカ</t>
    </rPh>
    <phoneticPr fontId="2"/>
  </si>
  <si>
    <t>放電ランプ *5</t>
    <rPh sb="0" eb="2">
      <t>ホウデン</t>
    </rPh>
    <phoneticPr fontId="2"/>
  </si>
  <si>
    <t>*5 2010年度までの開示セグメント名称は「放電灯」になります。</t>
    <rPh sb="7" eb="9">
      <t>ネンド</t>
    </rPh>
    <rPh sb="12" eb="14">
      <t>カイジ</t>
    </rPh>
    <rPh sb="23" eb="26">
      <t>ホウデントウ</t>
    </rPh>
    <phoneticPr fontId="2"/>
  </si>
  <si>
    <t>ハロゲンランプ *6</t>
    <phoneticPr fontId="2"/>
  </si>
  <si>
    <t>*6 2010年度までの開示セグメント名称は「ハロゲン」になります。</t>
    <rPh sb="7" eb="9">
      <t>ネンド</t>
    </rPh>
    <rPh sb="12" eb="14">
      <t>カイジ</t>
    </rPh>
    <rPh sb="19" eb="21">
      <t>メイショウ</t>
    </rPh>
    <phoneticPr fontId="2"/>
  </si>
  <si>
    <t>固体光源 *7</t>
    <rPh sb="0" eb="4">
      <t>コタイコウゲン</t>
    </rPh>
    <phoneticPr fontId="2"/>
  </si>
  <si>
    <t>*8</t>
    <phoneticPr fontId="2"/>
  </si>
  <si>
    <t xml:space="preserve"> *8</t>
    <phoneticPr fontId="2"/>
  </si>
  <si>
    <t>*9, *10</t>
    <phoneticPr fontId="2"/>
  </si>
  <si>
    <t>*10 2003年度の第２四半期以降の売上高及び営業利益は、当四半期の決算短信上に開示しております売上高及び営業利益と前四半期の売上高及び営業利益の差額をそれぞれ百万円単位で計算しております。</t>
    <rPh sb="8" eb="10">
      <t>ネンド</t>
    </rPh>
    <rPh sb="11" eb="12">
      <t>ダイ</t>
    </rPh>
    <rPh sb="13" eb="16">
      <t>シハンキ</t>
    </rPh>
    <rPh sb="16" eb="18">
      <t>イコウ</t>
    </rPh>
    <rPh sb="19" eb="22">
      <t>ウリアゲダカ</t>
    </rPh>
    <rPh sb="22" eb="23">
      <t>オヨ</t>
    </rPh>
    <rPh sb="24" eb="28">
      <t>エイギョウリエキ</t>
    </rPh>
    <rPh sb="30" eb="31">
      <t>トウ</t>
    </rPh>
    <rPh sb="31" eb="34">
      <t>シハンキ</t>
    </rPh>
    <rPh sb="35" eb="37">
      <t>ケッサン</t>
    </rPh>
    <rPh sb="37" eb="39">
      <t>タンシン</t>
    </rPh>
    <rPh sb="39" eb="40">
      <t>ジョウ</t>
    </rPh>
    <rPh sb="41" eb="43">
      <t>カイジ</t>
    </rPh>
    <rPh sb="49" eb="52">
      <t>ウリアゲダカ</t>
    </rPh>
    <rPh sb="52" eb="53">
      <t>オヨ</t>
    </rPh>
    <rPh sb="54" eb="58">
      <t>エイギョウリエキ</t>
    </rPh>
    <rPh sb="59" eb="60">
      <t>マエ</t>
    </rPh>
    <rPh sb="60" eb="63">
      <t>シハンキ</t>
    </rPh>
    <rPh sb="64" eb="66">
      <t>ウリアゲ</t>
    </rPh>
    <rPh sb="66" eb="67">
      <t>ダカ</t>
    </rPh>
    <rPh sb="67" eb="68">
      <t>オヨ</t>
    </rPh>
    <rPh sb="69" eb="73">
      <t>エイギョウリエキ</t>
    </rPh>
    <rPh sb="74" eb="76">
      <t>サガク</t>
    </rPh>
    <rPh sb="81" eb="84">
      <t>ヒャクマンエン</t>
    </rPh>
    <rPh sb="84" eb="86">
      <t>タンイ</t>
    </rPh>
    <rPh sb="87" eb="89">
      <t>ケイサン</t>
    </rPh>
    <phoneticPr fontId="2"/>
  </si>
  <si>
    <t>*11</t>
    <phoneticPr fontId="2"/>
  </si>
  <si>
    <t>　*12 2010年度第１四半期の「その他」の営業利益率は、2012年３月期第１四半期決算短信開示数値より百万円単位で算出しております。</t>
    <rPh sb="9" eb="11">
      <t>ネンド</t>
    </rPh>
    <rPh sb="11" eb="12">
      <t>ダイ</t>
    </rPh>
    <rPh sb="13" eb="16">
      <t>シハンキ</t>
    </rPh>
    <rPh sb="20" eb="21">
      <t>タ</t>
    </rPh>
    <rPh sb="23" eb="27">
      <t>エイギョウリエキ</t>
    </rPh>
    <rPh sb="27" eb="28">
      <t>リツ</t>
    </rPh>
    <rPh sb="34" eb="35">
      <t>ネン</t>
    </rPh>
    <rPh sb="36" eb="38">
      <t>ガツキ</t>
    </rPh>
    <rPh sb="38" eb="39">
      <t>ダイ</t>
    </rPh>
    <rPh sb="40" eb="43">
      <t>シハンキ</t>
    </rPh>
    <rPh sb="43" eb="47">
      <t>ケッサンタンシン</t>
    </rPh>
    <rPh sb="47" eb="49">
      <t>カイジ</t>
    </rPh>
    <rPh sb="49" eb="51">
      <t>スウチ</t>
    </rPh>
    <rPh sb="53" eb="56">
      <t>ヒャクマンエン</t>
    </rPh>
    <rPh sb="56" eb="58">
      <t>タンイ</t>
    </rPh>
    <rPh sb="59" eb="61">
      <t>サンシュツ</t>
    </rPh>
    <phoneticPr fontId="2"/>
  </si>
  <si>
    <t>*13, *14</t>
    <phoneticPr fontId="2"/>
  </si>
  <si>
    <t>*13 2010年度第２四半期の光源事業と装置事業の営業利益は、2012年3月期第2四半期決算概要スライド番号③に記載の営業利益率より逆算にて算出しております。</t>
    <rPh sb="8" eb="10">
      <t>ネンド</t>
    </rPh>
    <rPh sb="10" eb="11">
      <t>ダイ</t>
    </rPh>
    <rPh sb="12" eb="15">
      <t>シハンキ</t>
    </rPh>
    <rPh sb="16" eb="20">
      <t>コウゲンジギョウ</t>
    </rPh>
    <rPh sb="21" eb="25">
      <t>ソウチジギョウ</t>
    </rPh>
    <rPh sb="26" eb="30">
      <t>エイギョウリエキ</t>
    </rPh>
    <rPh sb="36" eb="37">
      <t>ネン</t>
    </rPh>
    <rPh sb="38" eb="40">
      <t>ガツキ</t>
    </rPh>
    <rPh sb="40" eb="41">
      <t>ダイ</t>
    </rPh>
    <rPh sb="42" eb="45">
      <t>シハンキ</t>
    </rPh>
    <rPh sb="45" eb="49">
      <t>ケッサンガイヨウ</t>
    </rPh>
    <rPh sb="53" eb="55">
      <t>バンゴウ</t>
    </rPh>
    <rPh sb="57" eb="59">
      <t>キサイ</t>
    </rPh>
    <rPh sb="60" eb="65">
      <t>エイギョウリエキリツ</t>
    </rPh>
    <rPh sb="67" eb="69">
      <t>ギャクサン</t>
    </rPh>
    <rPh sb="71" eb="73">
      <t>サンシュツ</t>
    </rPh>
    <phoneticPr fontId="2"/>
  </si>
  <si>
    <t>*15</t>
    <phoneticPr fontId="2"/>
  </si>
  <si>
    <t>*17</t>
    <phoneticPr fontId="2"/>
  </si>
  <si>
    <t>*7 固体光源には、2018年度までに「放電ランプ」として開示していたものの一部が含まれます。</t>
    <phoneticPr fontId="2"/>
  </si>
  <si>
    <t>*8 2000年度、2001年度及び2002年度は四半期別での開示はございません。</t>
    <rPh sb="7" eb="9">
      <t>ネンド</t>
    </rPh>
    <rPh sb="14" eb="16">
      <t>ネンド</t>
    </rPh>
    <rPh sb="16" eb="17">
      <t>オヨ</t>
    </rPh>
    <rPh sb="22" eb="24">
      <t>ネンド</t>
    </rPh>
    <rPh sb="25" eb="29">
      <t>シハンキベツ</t>
    </rPh>
    <rPh sb="31" eb="33">
      <t>カイジ</t>
    </rPh>
    <phoneticPr fontId="2"/>
  </si>
  <si>
    <t>*9 営業利益率は有価証券報告書開示数値より百万円単位で算出しております。</t>
    <rPh sb="3" eb="5">
      <t>エイギョウ</t>
    </rPh>
    <rPh sb="5" eb="7">
      <t>リエキ</t>
    </rPh>
    <rPh sb="7" eb="8">
      <t>リツ</t>
    </rPh>
    <rPh sb="9" eb="16">
      <t>ユウカショウケンホウコクショ</t>
    </rPh>
    <rPh sb="16" eb="18">
      <t>カイジ</t>
    </rPh>
    <rPh sb="18" eb="20">
      <t>スウチ</t>
    </rPh>
    <rPh sb="22" eb="25">
      <t>ヒャクマンエン</t>
    </rPh>
    <rPh sb="25" eb="27">
      <t>タンイ</t>
    </rPh>
    <rPh sb="28" eb="30">
      <t>サンシュツ</t>
    </rPh>
    <phoneticPr fontId="2"/>
  </si>
  <si>
    <t>*11 2009年度の四半期別全社・消去(営業利益)額は、当四半期決算短信における事業の種類別セグメント情報に記載の当時の報告セグメント「光応用製品事業」および「産業機械およびその他事業」に基づく「消去または全社」の数値について、当四半期累計と前四半期累計の差額を簡易的に算出した結果を掲載しています。</t>
    <phoneticPr fontId="2"/>
  </si>
  <si>
    <t>*4 第２四半期以降の各四半期における四半期別全社・消去(営業利益)額は、当四半期累計の全社・消去(営業利益)額から前四半期累計の全社・消去(営業利益)額を差し引くことにより、簡易的に算出した結果を掲載しています。</t>
    <phoneticPr fontId="2"/>
  </si>
  <si>
    <t>*1 第２四半期以降の各四半期における四半期別全社・消去(営業利益)額は、当四半期累計の全社・消去(営業利益)額から前四半期累計の全社・消去(営業利益)額を差し引くことにより、簡易的に算出した結果を掲載しています。</t>
    <phoneticPr fontId="2"/>
  </si>
  <si>
    <t>*14 2010年度第２四半期の「その他」の売上高及び営業利益は、2012年３月期第２四半期決算短信開示の数値から2012年３月期第１四半期決算短信開示の数値をそれぞれ百万円単位で差し引くことで簡易的に算出しており、営業利益率は、簡易的に算出した売上高及び営業利益の結果に基づき算出しております。</t>
    <phoneticPr fontId="2"/>
  </si>
  <si>
    <t>*15 2010年度第３四半期及び第４四半期の「光源事業」及び「装置事業」の営業利益、並びに「その他」の営業利益及び営業利益率は、2012年3月期第３四半期及び第４四半期の決算説明資料からそれぞれ転記しております。</t>
    <rPh sb="8" eb="10">
      <t>ネンド</t>
    </rPh>
    <rPh sb="10" eb="11">
      <t>ダイ</t>
    </rPh>
    <rPh sb="12" eb="15">
      <t>シハンキ</t>
    </rPh>
    <rPh sb="15" eb="16">
      <t>オヨ</t>
    </rPh>
    <rPh sb="17" eb="18">
      <t>ダイ</t>
    </rPh>
    <rPh sb="19" eb="22">
      <t>シハンキ</t>
    </rPh>
    <rPh sb="24" eb="28">
      <t>コウゲンジギョウ</t>
    </rPh>
    <rPh sb="29" eb="30">
      <t>オヨ</t>
    </rPh>
    <rPh sb="32" eb="36">
      <t>ソウチジギョウ</t>
    </rPh>
    <rPh sb="38" eb="42">
      <t>エイギョウリエキ</t>
    </rPh>
    <rPh sb="43" eb="44">
      <t>ナラ</t>
    </rPh>
    <rPh sb="49" eb="50">
      <t>タ</t>
    </rPh>
    <rPh sb="52" eb="56">
      <t>エイギョウリエキ</t>
    </rPh>
    <rPh sb="56" eb="57">
      <t>オヨ</t>
    </rPh>
    <rPh sb="58" eb="63">
      <t>エイギョウリエキリツ</t>
    </rPh>
    <rPh sb="69" eb="70">
      <t>ネン</t>
    </rPh>
    <rPh sb="71" eb="72">
      <t>ガツ</t>
    </rPh>
    <rPh sb="72" eb="73">
      <t>キ</t>
    </rPh>
    <rPh sb="73" eb="74">
      <t>ダイ</t>
    </rPh>
    <rPh sb="75" eb="78">
      <t>シハンキ</t>
    </rPh>
    <rPh sb="78" eb="79">
      <t>オヨ</t>
    </rPh>
    <rPh sb="80" eb="81">
      <t>ダイ</t>
    </rPh>
    <rPh sb="82" eb="85">
      <t>シハンキ</t>
    </rPh>
    <rPh sb="98" eb="100">
      <t>テンキ</t>
    </rPh>
    <phoneticPr fontId="2"/>
  </si>
  <si>
    <t>*16 2013年度及び2014年度第2四半期の「光源事業」、「装置事業」及び「その他事業」の営業利益は、当第1四半期の営業利益との差額を億円単位で算出しており、営業利益率は、当該算出結果の営業利益を当第２四半期の売上高で除した割合として算出しております。</t>
    <phoneticPr fontId="2"/>
  </si>
  <si>
    <t>*17 2019年度以降、第2四半期以降のサブセグメント別売上高は、当四半期の決算説明資料に開示しているサブセグメント別売上高と前四半期のサブセグメント別売上高の差額を、億円単位で算出しています。</t>
    <phoneticPr fontId="2"/>
  </si>
  <si>
    <t>*7 営業利益率は有価証券報告書開示数値より百万円単位で算出しております。</t>
    <phoneticPr fontId="2"/>
  </si>
  <si>
    <t>*12 セグメント別営業利益は2011年3月期決算短信のデータに基づき転記しており、セグメント別営業利益率は同決算短信の数値を百万円単位で用いて算出しております。</t>
    <phoneticPr fontId="2"/>
  </si>
  <si>
    <t>*2 第２四半期以降のサブセグメント別売上高は、当四半期の決算説明資料に開示しているサブセグメント別売上高と前四半期のサブセグメント別売上高の差額を、億円単位で算出しています。</t>
    <rPh sb="3" eb="4">
      <t>ダイ</t>
    </rPh>
    <rPh sb="5" eb="8">
      <t>シハンキ</t>
    </rPh>
    <rPh sb="8" eb="10">
      <t>イコウ</t>
    </rPh>
    <rPh sb="18" eb="19">
      <t>ベツ</t>
    </rPh>
    <rPh sb="19" eb="21">
      <t>ウリアゲ</t>
    </rPh>
    <rPh sb="21" eb="22">
      <t>ダカ</t>
    </rPh>
    <rPh sb="24" eb="25">
      <t>トウ</t>
    </rPh>
    <rPh sb="25" eb="28">
      <t>シハンキ</t>
    </rPh>
    <rPh sb="29" eb="31">
      <t>ケッサン</t>
    </rPh>
    <rPh sb="31" eb="33">
      <t>セツメイ</t>
    </rPh>
    <rPh sb="33" eb="35">
      <t>シリョウ</t>
    </rPh>
    <rPh sb="36" eb="38">
      <t>カイジ</t>
    </rPh>
    <rPh sb="49" eb="50">
      <t>ベツ</t>
    </rPh>
    <rPh sb="50" eb="52">
      <t>ウリアゲ</t>
    </rPh>
    <rPh sb="52" eb="53">
      <t>ダカ</t>
    </rPh>
    <rPh sb="54" eb="55">
      <t>マエ</t>
    </rPh>
    <rPh sb="55" eb="58">
      <t>シハンキ</t>
    </rPh>
    <rPh sb="66" eb="67">
      <t>ベツ</t>
    </rPh>
    <rPh sb="67" eb="69">
      <t>ウリアゲ</t>
    </rPh>
    <rPh sb="69" eb="70">
      <t>ダカ</t>
    </rPh>
    <rPh sb="71" eb="73">
      <t>サガク</t>
    </rPh>
    <rPh sb="75" eb="77">
      <t>オクエン</t>
    </rPh>
    <rPh sb="77" eb="79">
      <t>タンイ</t>
    </rPh>
    <rPh sb="80" eb="82">
      <t>サンシュツ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</si>
</sst>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0%;\▲0.0%"/>
    <numFmt numFmtId="179" formatCode="#,##0;\▲#,##0;\ &quot;▲0&quot;"/>
    <numFmt numFmtId="180" formatCode="#,##0;\▲#,##0;&quot;▲0&quot;"/>
  </numFmts>
  <fonts count="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8">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style="thin">
        <color indexed="64"/>
      </top>
      <bottom/>
      <diagonal/>
    </border>
    <border>
      <left style="thin">
        <color indexed="64"/>
      </left>
      <right/>
      <top style="dotted">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177" fontId="0" fillId="0" borderId="0" xfId="0" applyNumberFormat="1">
      <alignment vertical="center"/>
    </xf>
    <xf numFmtId="0" fontId="3" fillId="0" borderId="1" xfId="0" applyFont="1" applyBorder="1">
      <alignment vertical="center"/>
    </xf>
    <xf numFmtId="0" fontId="0" fillId="0" borderId="1" xfId="0" applyBorder="1">
      <alignment vertical="center"/>
    </xf>
    <xf numFmtId="178" fontId="0" fillId="0" borderId="3" xfId="0" applyNumberFormat="1" applyBorder="1">
      <alignment vertical="center"/>
    </xf>
    <xf numFmtId="0" fontId="0" fillId="0" borderId="6" xfId="0" applyBorder="1">
      <alignment vertical="center"/>
    </xf>
    <xf numFmtId="177" fontId="0" fillId="0" borderId="5" xfId="0" applyNumberFormat="1" applyBorder="1">
      <alignment vertical="center"/>
    </xf>
    <xf numFmtId="178" fontId="0" fillId="0" borderId="4" xfId="0" applyNumberFormat="1" applyBorder="1">
      <alignment vertical="center"/>
    </xf>
    <xf numFmtId="0" fontId="0" fillId="0" borderId="5" xfId="0" applyBorder="1">
      <alignment vertical="center"/>
    </xf>
    <xf numFmtId="0" fontId="0" fillId="0" borderId="3" xfId="0" applyBorder="1">
      <alignment vertical="center"/>
    </xf>
    <xf numFmtId="176" fontId="0" fillId="0" borderId="5" xfId="0" applyNumberFormat="1" applyBorder="1">
      <alignment vertical="center"/>
    </xf>
    <xf numFmtId="0" fontId="3" fillId="0" borderId="5" xfId="0" applyFont="1" applyBorder="1">
      <alignment vertical="center"/>
    </xf>
    <xf numFmtId="0" fontId="3" fillId="0" borderId="4" xfId="0" applyFont="1" applyBorder="1">
      <alignment vertical="center"/>
    </xf>
    <xf numFmtId="0" fontId="3" fillId="0" borderId="3" xfId="0" applyFont="1" applyBorder="1">
      <alignment vertical="center"/>
    </xf>
    <xf numFmtId="178" fontId="0" fillId="0" borderId="10" xfId="0" applyNumberFormat="1" applyBorder="1">
      <alignment vertical="center"/>
    </xf>
    <xf numFmtId="49" fontId="0" fillId="0" borderId="0" xfId="0" applyNumberFormat="1" applyAlignment="1">
      <alignment horizontal="right" vertical="center"/>
    </xf>
    <xf numFmtId="49" fontId="0" fillId="0" borderId="5" xfId="0" applyNumberFormat="1" applyBorder="1" applyAlignment="1">
      <alignment horizontal="right" vertical="center"/>
    </xf>
    <xf numFmtId="0" fontId="3" fillId="2" borderId="0" xfId="0" applyFont="1" applyFill="1">
      <alignment vertical="center"/>
    </xf>
    <xf numFmtId="0" fontId="0" fillId="2" borderId="0" xfId="0" applyFill="1" applyAlignment="1">
      <alignment horizontal="left" vertical="center" indent="1"/>
    </xf>
    <xf numFmtId="0" fontId="0" fillId="2" borderId="3" xfId="0" applyFill="1" applyBorder="1" applyAlignment="1">
      <alignment horizontal="left" vertical="center" indent="1"/>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3" fillId="2" borderId="1" xfId="0" applyFont="1" applyFill="1" applyBorder="1">
      <alignment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7" xfId="0" applyFill="1" applyBorder="1" applyAlignment="1">
      <alignment horizontal="left" vertical="center" indent="1"/>
    </xf>
    <xf numFmtId="0" fontId="3" fillId="2" borderId="0" xfId="0" applyFont="1" applyFill="1" applyAlignment="1">
      <alignment horizontal="left" vertical="center" indent="1"/>
    </xf>
    <xf numFmtId="0" fontId="0" fillId="2" borderId="0" xfId="0" applyFill="1" applyAlignment="1">
      <alignment horizontal="left" vertical="center" indent="3"/>
    </xf>
    <xf numFmtId="0" fontId="3" fillId="2" borderId="0" xfId="0" applyFont="1" applyFill="1" applyAlignment="1">
      <alignment horizontal="left" vertical="center" indent="2"/>
    </xf>
    <xf numFmtId="0" fontId="3" fillId="2" borderId="3" xfId="0" applyFont="1" applyFill="1" applyBorder="1" applyAlignment="1">
      <alignment horizontal="left" vertical="center" indent="2"/>
    </xf>
    <xf numFmtId="0" fontId="0" fillId="2" borderId="10" xfId="0" applyFill="1" applyBorder="1" applyAlignment="1">
      <alignment horizontal="left" vertical="center" indent="1"/>
    </xf>
    <xf numFmtId="0" fontId="0" fillId="2" borderId="0" xfId="0" applyFill="1" applyAlignment="1">
      <alignment horizontal="left" vertical="center" indent="2"/>
    </xf>
    <xf numFmtId="0" fontId="3" fillId="2" borderId="3" xfId="0" applyFont="1" applyFill="1" applyBorder="1" applyAlignment="1">
      <alignment horizontal="left" vertical="center" indent="1"/>
    </xf>
    <xf numFmtId="0" fontId="0" fillId="2" borderId="2" xfId="0" applyFill="1" applyBorder="1" applyAlignment="1">
      <alignment horizontal="center" vertical="center"/>
    </xf>
    <xf numFmtId="178" fontId="4" fillId="0" borderId="10" xfId="0" applyNumberFormat="1" applyFont="1" applyBorder="1">
      <alignment vertical="center"/>
    </xf>
    <xf numFmtId="0" fontId="4" fillId="2" borderId="0" xfId="0" applyFont="1" applyFill="1" applyAlignment="1">
      <alignment horizontal="left" vertical="center" indent="2"/>
    </xf>
    <xf numFmtId="0" fontId="4" fillId="2" borderId="3" xfId="0" applyFont="1" applyFill="1" applyBorder="1" applyAlignment="1">
      <alignment horizontal="left" vertical="center" indent="2"/>
    </xf>
    <xf numFmtId="177" fontId="0" fillId="0" borderId="0" xfId="0" applyNumberFormat="1" applyAlignment="1">
      <alignment horizontal="right" vertical="center"/>
    </xf>
    <xf numFmtId="177" fontId="0" fillId="0" borderId="3" xfId="0" applyNumberFormat="1" applyBorder="1">
      <alignment vertical="center"/>
    </xf>
    <xf numFmtId="177" fontId="0" fillId="0" borderId="3" xfId="0" applyNumberFormat="1" applyBorder="1" applyAlignment="1">
      <alignment horizontal="right" vertical="center"/>
    </xf>
    <xf numFmtId="178" fontId="4" fillId="0" borderId="3" xfId="0" applyNumberFormat="1" applyFont="1" applyBorder="1">
      <alignment vertical="center"/>
    </xf>
    <xf numFmtId="178" fontId="4" fillId="0" borderId="10" xfId="0" applyNumberFormat="1" applyFont="1" applyBorder="1" applyAlignment="1">
      <alignment horizontal="right" vertical="center"/>
    </xf>
    <xf numFmtId="0" fontId="0" fillId="0" borderId="0" xfId="0" applyAlignment="1">
      <alignment horizontal="right" vertical="center"/>
    </xf>
    <xf numFmtId="3" fontId="0" fillId="0" borderId="0" xfId="0" applyNumberFormat="1">
      <alignment vertical="center"/>
    </xf>
    <xf numFmtId="0" fontId="0" fillId="0" borderId="1" xfId="0" applyBorder="1" applyAlignment="1">
      <alignment horizontal="right" vertical="center"/>
    </xf>
    <xf numFmtId="178" fontId="4" fillId="0" borderId="3" xfId="0" applyNumberFormat="1" applyFont="1" applyBorder="1" applyAlignment="1">
      <alignment horizontal="right" vertical="center"/>
    </xf>
    <xf numFmtId="178" fontId="0" fillId="0" borderId="3" xfId="0" applyNumberFormat="1" applyBorder="1" applyAlignment="1">
      <alignment horizontal="right" vertical="center"/>
    </xf>
    <xf numFmtId="0" fontId="3" fillId="2" borderId="2" xfId="0" applyFont="1" applyFill="1" applyBorder="1" applyAlignment="1">
      <alignment horizontal="left" vertical="center"/>
    </xf>
    <xf numFmtId="177" fontId="4" fillId="0" borderId="2" xfId="0" applyNumberFormat="1" applyFont="1" applyBorder="1">
      <alignment vertical="center"/>
    </xf>
    <xf numFmtId="177" fontId="4" fillId="0" borderId="2" xfId="0" applyNumberFormat="1" applyFont="1" applyBorder="1" applyAlignment="1">
      <alignment horizontal="right" vertical="center"/>
    </xf>
    <xf numFmtId="176" fontId="0" fillId="0" borderId="0" xfId="1" applyNumberFormat="1" applyFont="1">
      <alignment vertical="center"/>
    </xf>
    <xf numFmtId="178" fontId="0" fillId="0" borderId="2" xfId="0" applyNumberFormat="1" applyBorder="1" applyAlignment="1">
      <alignment horizontal="right" vertical="center"/>
    </xf>
    <xf numFmtId="0" fontId="0" fillId="0" borderId="3" xfId="0" applyBorder="1" applyAlignment="1">
      <alignment horizontal="right" vertical="center"/>
    </xf>
    <xf numFmtId="0" fontId="3" fillId="0" borderId="0" xfId="0" applyFont="1" applyAlignment="1">
      <alignment horizontal="right" vertical="center"/>
    </xf>
    <xf numFmtId="0" fontId="3" fillId="0" borderId="3" xfId="0" applyFont="1" applyBorder="1" applyAlignment="1">
      <alignment horizontal="right" vertical="center"/>
    </xf>
    <xf numFmtId="179" fontId="0" fillId="0" borderId="0" xfId="0" applyNumberFormat="1">
      <alignment vertical="center"/>
    </xf>
    <xf numFmtId="178" fontId="0" fillId="0" borderId="8" xfId="0" applyNumberFormat="1" applyBorder="1">
      <alignment vertical="center"/>
    </xf>
    <xf numFmtId="178" fontId="0" fillId="0" borderId="7" xfId="0" applyNumberFormat="1" applyBorder="1">
      <alignment vertical="center"/>
    </xf>
    <xf numFmtId="49" fontId="0" fillId="0" borderId="3" xfId="0" applyNumberFormat="1" applyBorder="1" applyAlignment="1">
      <alignment horizontal="right" vertical="center"/>
    </xf>
    <xf numFmtId="0" fontId="0" fillId="0" borderId="16" xfId="0" applyBorder="1">
      <alignment vertical="center"/>
    </xf>
    <xf numFmtId="0" fontId="0" fillId="2" borderId="14" xfId="0" applyFill="1" applyBorder="1" applyAlignment="1">
      <alignment horizontal="left" vertical="center" indent="2"/>
    </xf>
    <xf numFmtId="0" fontId="3" fillId="2" borderId="16" xfId="0" applyFont="1" applyFill="1" applyBorder="1">
      <alignment vertical="center"/>
    </xf>
    <xf numFmtId="0" fontId="0" fillId="2" borderId="14" xfId="0" applyFill="1" applyBorder="1" applyAlignment="1">
      <alignment horizontal="left" vertical="center" indent="1"/>
    </xf>
    <xf numFmtId="0" fontId="0" fillId="2" borderId="15" xfId="0" applyFill="1" applyBorder="1" applyAlignment="1">
      <alignment horizontal="left" vertical="center" indent="1"/>
    </xf>
    <xf numFmtId="0" fontId="3" fillId="2" borderId="14" xfId="0" applyFont="1" applyFill="1" applyBorder="1" applyAlignment="1">
      <alignment horizontal="left" vertical="center" indent="1"/>
    </xf>
    <xf numFmtId="0" fontId="4" fillId="2" borderId="14" xfId="0" applyFont="1" applyFill="1" applyBorder="1" applyAlignment="1">
      <alignment horizontal="left" vertical="center" indent="2"/>
    </xf>
    <xf numFmtId="0" fontId="4" fillId="2" borderId="12" xfId="0" applyFont="1" applyFill="1" applyBorder="1" applyAlignment="1">
      <alignment horizontal="left" vertical="center" indent="2"/>
    </xf>
    <xf numFmtId="177" fontId="0" fillId="0" borderId="14" xfId="0" applyNumberFormat="1" applyBorder="1" applyAlignment="1">
      <alignment horizontal="right" vertical="center"/>
    </xf>
    <xf numFmtId="0" fontId="0" fillId="0" borderId="0" xfId="0" applyAlignment="1">
      <alignment horizontal="left" vertical="center" indent="1"/>
    </xf>
    <xf numFmtId="177" fontId="0" fillId="0" borderId="2" xfId="0" applyNumberFormat="1" applyBorder="1" applyAlignment="1">
      <alignment horizontal="right" vertical="center"/>
    </xf>
    <xf numFmtId="177" fontId="0" fillId="0" borderId="9" xfId="0" applyNumberFormat="1" applyBorder="1" applyAlignment="1">
      <alignment horizontal="right" vertical="center"/>
    </xf>
    <xf numFmtId="177" fontId="0" fillId="0" borderId="2" xfId="0" applyNumberFormat="1" applyBorder="1">
      <alignment vertical="center"/>
    </xf>
    <xf numFmtId="180" fontId="0" fillId="0" borderId="2" xfId="0" applyNumberFormat="1" applyBorder="1" applyAlignment="1">
      <alignment horizontal="right" vertical="center"/>
    </xf>
    <xf numFmtId="179" fontId="4" fillId="0" borderId="2" xfId="0" applyNumberFormat="1" applyFont="1" applyBorder="1">
      <alignment vertical="center"/>
    </xf>
    <xf numFmtId="178" fontId="0" fillId="0" borderId="10" xfId="0" applyNumberFormat="1" applyBorder="1" applyAlignment="1">
      <alignment horizontal="right" vertical="center"/>
    </xf>
    <xf numFmtId="177" fontId="0" fillId="0" borderId="5" xfId="0" applyNumberFormat="1" applyBorder="1" applyAlignment="1">
      <alignment horizontal="right" vertical="center"/>
    </xf>
    <xf numFmtId="178" fontId="0" fillId="0" borderId="11" xfId="0" applyNumberFormat="1" applyBorder="1" applyAlignment="1">
      <alignment horizontal="right" vertical="center"/>
    </xf>
    <xf numFmtId="0" fontId="0" fillId="0" borderId="6" xfId="0" applyBorder="1" applyAlignment="1">
      <alignment horizontal="right" vertical="center"/>
    </xf>
    <xf numFmtId="178" fontId="4" fillId="0" borderId="11" xfId="0" applyNumberFormat="1" applyFont="1" applyBorder="1" applyAlignment="1">
      <alignment horizontal="right" vertical="center"/>
    </xf>
    <xf numFmtId="177" fontId="0" fillId="0" borderId="4" xfId="0" applyNumberFormat="1" applyBorder="1" applyAlignment="1">
      <alignment horizontal="right" vertical="center"/>
    </xf>
    <xf numFmtId="178" fontId="0" fillId="0" borderId="4" xfId="0" applyNumberFormat="1" applyBorder="1" applyAlignment="1">
      <alignment horizontal="right" vertical="center"/>
    </xf>
    <xf numFmtId="0" fontId="0" fillId="0" borderId="5" xfId="0" applyBorder="1" applyAlignment="1">
      <alignment horizontal="right" vertical="center"/>
    </xf>
    <xf numFmtId="0" fontId="3" fillId="0" borderId="2" xfId="0" applyFont="1" applyBorder="1" applyAlignment="1">
      <alignment horizontal="left" vertical="center"/>
    </xf>
    <xf numFmtId="0" fontId="0" fillId="2" borderId="9" xfId="0" applyFill="1" applyBorder="1" applyAlignment="1">
      <alignment horizontal="center" vertical="center"/>
    </xf>
    <xf numFmtId="176" fontId="0" fillId="0" borderId="0" xfId="0" applyNumberFormat="1">
      <alignment vertical="center"/>
    </xf>
    <xf numFmtId="180" fontId="0" fillId="0" borderId="0" xfId="0" applyNumberFormat="1">
      <alignment vertical="center"/>
    </xf>
    <xf numFmtId="178" fontId="0" fillId="0" borderId="11" xfId="0" applyNumberFormat="1" applyBorder="1">
      <alignment vertical="center"/>
    </xf>
    <xf numFmtId="177" fontId="0" fillId="0" borderId="4" xfId="0" applyNumberFormat="1" applyBorder="1">
      <alignment vertical="center"/>
    </xf>
    <xf numFmtId="177" fontId="0" fillId="0" borderId="17" xfId="0" applyNumberFormat="1" applyBorder="1">
      <alignment vertical="center"/>
    </xf>
    <xf numFmtId="0" fontId="0" fillId="2" borderId="9" xfId="0" applyFill="1" applyBorder="1" applyAlignment="1">
      <alignment horizontal="center" vertical="center"/>
    </xf>
    <xf numFmtId="0" fontId="0" fillId="2" borderId="2" xfId="0" applyFill="1" applyBorder="1" applyAlignment="1">
      <alignment horizontal="center" vertical="center"/>
    </xf>
    <xf numFmtId="0" fontId="0" fillId="2" borderId="13" xfId="0" applyFill="1" applyBorder="1" applyAlignment="1">
      <alignment horizontal="center" vertical="center"/>
    </xf>
    <xf numFmtId="0" fontId="0" fillId="3" borderId="0" xfId="0" applyFill="1">
      <alignment vertical="center"/>
    </xf>
    <xf numFmtId="177" fontId="0" fillId="0" borderId="0" xfId="0" applyNumberFormat="1" applyFill="1">
      <alignmen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093BD-27B2-488B-B042-770095143678}">
  <dimension ref="A1:F46"/>
  <sheetViews>
    <sheetView showGridLines="0" topLeftCell="A21" workbookViewId="0">
      <pane xSplit="2" topLeftCell="C1" activePane="topRight" state="frozen"/>
      <selection pane="topRight" activeCell="F4" sqref="F4"/>
    </sheetView>
  </sheetViews>
  <sheetFormatPr defaultRowHeight="18" x14ac:dyDescent="0.45"/>
  <cols>
    <col min="1" max="1" width="4" customWidth="1"/>
    <col min="2" max="2" width="30.19921875" customWidth="1"/>
    <col min="3" max="6" width="9.3984375" customWidth="1"/>
  </cols>
  <sheetData>
    <row r="1" spans="1:6" x14ac:dyDescent="0.45">
      <c r="A1" t="s">
        <v>9</v>
      </c>
    </row>
    <row r="3" spans="1:6" x14ac:dyDescent="0.45">
      <c r="C3" s="10"/>
      <c r="D3" s="10"/>
      <c r="E3" s="10"/>
      <c r="F3" s="10"/>
    </row>
    <row r="4" spans="1:6" ht="36" x14ac:dyDescent="0.45">
      <c r="B4" s="44" t="s">
        <v>2</v>
      </c>
      <c r="C4" s="24">
        <v>2022</v>
      </c>
      <c r="D4" s="25">
        <v>2023</v>
      </c>
      <c r="E4" s="25">
        <v>2024</v>
      </c>
      <c r="F4" s="26" t="s">
        <v>26</v>
      </c>
    </row>
    <row r="5" spans="1:6" x14ac:dyDescent="0.45">
      <c r="B5" s="23" t="s">
        <v>0</v>
      </c>
      <c r="C5" s="6"/>
      <c r="D5" s="4"/>
      <c r="E5" s="4"/>
      <c r="F5" s="4"/>
    </row>
    <row r="6" spans="1:6" x14ac:dyDescent="0.45">
      <c r="B6" s="19" t="s">
        <v>4</v>
      </c>
      <c r="C6" s="7">
        <v>894</v>
      </c>
      <c r="D6" s="2">
        <v>821</v>
      </c>
      <c r="E6" s="2">
        <v>789</v>
      </c>
      <c r="F6" s="2">
        <v>730</v>
      </c>
    </row>
    <row r="7" spans="1:6" x14ac:dyDescent="0.45">
      <c r="B7" s="19" t="s">
        <v>6</v>
      </c>
      <c r="C7" s="7">
        <v>182</v>
      </c>
      <c r="D7" s="2">
        <v>108</v>
      </c>
      <c r="E7" s="2">
        <v>96</v>
      </c>
      <c r="F7" s="2">
        <v>53</v>
      </c>
    </row>
    <row r="8" spans="1:6" x14ac:dyDescent="0.45">
      <c r="B8" s="20" t="s">
        <v>7</v>
      </c>
      <c r="C8" s="8">
        <v>0.20399999999999999</v>
      </c>
      <c r="D8" s="5">
        <v>0.13200000000000001</v>
      </c>
      <c r="E8" s="5">
        <v>0.122</v>
      </c>
      <c r="F8" s="5">
        <v>7.2999999999999995E-2</v>
      </c>
    </row>
    <row r="9" spans="1:6" x14ac:dyDescent="0.45">
      <c r="B9" s="28" t="s">
        <v>12</v>
      </c>
      <c r="C9" s="11"/>
    </row>
    <row r="10" spans="1:6" x14ac:dyDescent="0.45">
      <c r="B10" s="29" t="s">
        <v>13</v>
      </c>
      <c r="C10" s="9">
        <v>136</v>
      </c>
      <c r="D10">
        <v>140</v>
      </c>
      <c r="E10">
        <v>149</v>
      </c>
      <c r="F10" s="44" t="s">
        <v>39</v>
      </c>
    </row>
    <row r="11" spans="1:6" x14ac:dyDescent="0.45">
      <c r="B11" s="29" t="s">
        <v>14</v>
      </c>
      <c r="C11" s="9">
        <v>63</v>
      </c>
      <c r="D11">
        <v>55</v>
      </c>
      <c r="E11">
        <v>60</v>
      </c>
      <c r="F11" s="44" t="s">
        <v>39</v>
      </c>
    </row>
    <row r="12" spans="1:6" x14ac:dyDescent="0.45">
      <c r="B12" s="29" t="s">
        <v>15</v>
      </c>
      <c r="C12" s="9">
        <v>115</v>
      </c>
      <c r="D12">
        <v>102</v>
      </c>
      <c r="E12">
        <v>109</v>
      </c>
      <c r="F12" s="44" t="s">
        <v>39</v>
      </c>
    </row>
    <row r="13" spans="1:6" x14ac:dyDescent="0.45">
      <c r="B13" s="30" t="s">
        <v>16</v>
      </c>
      <c r="C13" s="12">
        <v>315</v>
      </c>
      <c r="D13" s="1">
        <v>298</v>
      </c>
      <c r="E13" s="1">
        <v>319</v>
      </c>
      <c r="F13" s="44" t="s">
        <v>39</v>
      </c>
    </row>
    <row r="14" spans="1:6" x14ac:dyDescent="0.45">
      <c r="B14" s="29" t="s">
        <v>17</v>
      </c>
      <c r="C14" s="9">
        <v>345</v>
      </c>
      <c r="D14">
        <v>329</v>
      </c>
      <c r="E14">
        <v>290</v>
      </c>
      <c r="F14" s="44" t="s">
        <v>39</v>
      </c>
    </row>
    <row r="15" spans="1:6" x14ac:dyDescent="0.45">
      <c r="B15" s="29" t="s">
        <v>18</v>
      </c>
      <c r="C15" s="9">
        <v>233</v>
      </c>
      <c r="D15">
        <v>193</v>
      </c>
      <c r="E15">
        <v>179</v>
      </c>
      <c r="F15" s="44" t="s">
        <v>39</v>
      </c>
    </row>
    <row r="16" spans="1:6" x14ac:dyDescent="0.45">
      <c r="B16" s="31" t="s">
        <v>19</v>
      </c>
      <c r="C16" s="13">
        <v>579</v>
      </c>
      <c r="D16" s="14">
        <v>522</v>
      </c>
      <c r="E16" s="14">
        <v>469</v>
      </c>
      <c r="F16" s="54" t="s">
        <v>39</v>
      </c>
    </row>
    <row r="17" spans="1:6" x14ac:dyDescent="0.45">
      <c r="B17" s="23" t="s">
        <v>5</v>
      </c>
      <c r="C17" s="6"/>
      <c r="D17" s="4"/>
      <c r="E17" s="4"/>
      <c r="F17" s="4"/>
    </row>
    <row r="18" spans="1:6" x14ac:dyDescent="0.45">
      <c r="B18" s="19" t="s">
        <v>4</v>
      </c>
      <c r="C18" s="7">
        <v>689</v>
      </c>
      <c r="D18" s="2">
        <v>805</v>
      </c>
      <c r="E18" s="2">
        <v>808</v>
      </c>
      <c r="F18" s="2">
        <v>790</v>
      </c>
    </row>
    <row r="19" spans="1:6" x14ac:dyDescent="0.45">
      <c r="B19" s="19" t="s">
        <v>6</v>
      </c>
      <c r="C19" s="7">
        <v>34</v>
      </c>
      <c r="D19" s="2">
        <v>58</v>
      </c>
      <c r="E19" s="2">
        <v>7</v>
      </c>
      <c r="F19" s="2">
        <v>45</v>
      </c>
    </row>
    <row r="20" spans="1:6" x14ac:dyDescent="0.45">
      <c r="B20" s="27" t="s">
        <v>7</v>
      </c>
      <c r="C20" s="58">
        <v>0.05</v>
      </c>
      <c r="D20" s="59">
        <v>7.2999999999999995E-2</v>
      </c>
      <c r="E20" s="59">
        <v>8.9999999999999993E-3</v>
      </c>
      <c r="F20" s="59">
        <v>5.7000000000000002E-2</v>
      </c>
    </row>
    <row r="21" spans="1:6" x14ac:dyDescent="0.45">
      <c r="B21" s="28" t="s">
        <v>12</v>
      </c>
      <c r="C21" s="9"/>
    </row>
    <row r="22" spans="1:6" x14ac:dyDescent="0.45">
      <c r="B22" s="29" t="s">
        <v>20</v>
      </c>
      <c r="C22" s="9">
        <v>138</v>
      </c>
      <c r="D22">
        <v>126</v>
      </c>
      <c r="E22">
        <v>105</v>
      </c>
      <c r="F22" s="44" t="s">
        <v>39</v>
      </c>
    </row>
    <row r="23" spans="1:6" x14ac:dyDescent="0.45">
      <c r="B23" s="29" t="s">
        <v>21</v>
      </c>
      <c r="C23" s="9">
        <v>36</v>
      </c>
      <c r="D23">
        <v>36</v>
      </c>
      <c r="E23">
        <v>36</v>
      </c>
      <c r="F23" s="44" t="s">
        <v>39</v>
      </c>
    </row>
    <row r="24" spans="1:6" x14ac:dyDescent="0.45">
      <c r="B24" s="30" t="s">
        <v>22</v>
      </c>
      <c r="C24" s="12">
        <v>175</v>
      </c>
      <c r="D24" s="1">
        <v>163</v>
      </c>
      <c r="E24" s="1">
        <v>141</v>
      </c>
      <c r="F24" s="44" t="s">
        <v>39</v>
      </c>
    </row>
    <row r="25" spans="1:6" x14ac:dyDescent="0.45">
      <c r="B25" s="29" t="s">
        <v>23</v>
      </c>
      <c r="C25" s="9">
        <v>207</v>
      </c>
      <c r="D25">
        <v>313</v>
      </c>
      <c r="E25">
        <v>319</v>
      </c>
      <c r="F25" s="44" t="s">
        <v>39</v>
      </c>
    </row>
    <row r="26" spans="1:6" x14ac:dyDescent="0.45">
      <c r="B26" s="29" t="s">
        <v>24</v>
      </c>
      <c r="C26" s="9">
        <v>305</v>
      </c>
      <c r="D26">
        <v>328</v>
      </c>
      <c r="E26">
        <v>347</v>
      </c>
      <c r="F26" s="44" t="s">
        <v>39</v>
      </c>
    </row>
    <row r="27" spans="1:6" x14ac:dyDescent="0.45">
      <c r="B27" s="31" t="s">
        <v>25</v>
      </c>
      <c r="C27" s="13">
        <v>513</v>
      </c>
      <c r="D27" s="14">
        <v>641</v>
      </c>
      <c r="E27" s="14">
        <v>667</v>
      </c>
      <c r="F27" s="54" t="s">
        <v>39</v>
      </c>
    </row>
    <row r="28" spans="1:6" x14ac:dyDescent="0.45">
      <c r="B28" s="18" t="s">
        <v>1</v>
      </c>
      <c r="C28" s="9"/>
    </row>
    <row r="29" spans="1:6" x14ac:dyDescent="0.45">
      <c r="B29" s="19" t="s">
        <v>4</v>
      </c>
      <c r="C29" s="7">
        <v>56</v>
      </c>
      <c r="D29" s="2">
        <v>52</v>
      </c>
      <c r="E29" s="2">
        <v>61</v>
      </c>
      <c r="F29" s="2">
        <v>60</v>
      </c>
    </row>
    <row r="30" spans="1:6" x14ac:dyDescent="0.45">
      <c r="A30" t="s">
        <v>8</v>
      </c>
      <c r="B30" s="19" t="s">
        <v>6</v>
      </c>
      <c r="C30" s="7">
        <v>-51</v>
      </c>
      <c r="D30" s="2">
        <v>-23</v>
      </c>
      <c r="E30" s="2">
        <v>-10</v>
      </c>
      <c r="F30" s="2">
        <v>2</v>
      </c>
    </row>
    <row r="31" spans="1:6" x14ac:dyDescent="0.45">
      <c r="B31" s="20" t="s">
        <v>7</v>
      </c>
      <c r="C31" s="8">
        <v>-0.91400000000000003</v>
      </c>
      <c r="D31" s="5">
        <v>-0.44700000000000001</v>
      </c>
      <c r="E31" s="5">
        <v>-0.17699999999999999</v>
      </c>
      <c r="F31" s="5">
        <v>3.3000000000000002E-2</v>
      </c>
    </row>
    <row r="32" spans="1:6" x14ac:dyDescent="0.45">
      <c r="B32" s="18" t="s">
        <v>3</v>
      </c>
      <c r="C32" s="9"/>
    </row>
    <row r="33" spans="2:6" x14ac:dyDescent="0.45">
      <c r="B33" s="19" t="s">
        <v>4</v>
      </c>
      <c r="C33" s="7">
        <v>92</v>
      </c>
      <c r="D33" s="2">
        <v>102</v>
      </c>
      <c r="E33" s="2">
        <v>103</v>
      </c>
      <c r="F33" s="2">
        <v>105</v>
      </c>
    </row>
    <row r="34" spans="2:6" x14ac:dyDescent="0.45">
      <c r="B34" s="19" t="s">
        <v>6</v>
      </c>
      <c r="C34" s="7">
        <v>-2</v>
      </c>
      <c r="D34" s="2">
        <v>-15</v>
      </c>
      <c r="E34" s="2">
        <v>-4</v>
      </c>
      <c r="F34" s="2">
        <v>0</v>
      </c>
    </row>
    <row r="35" spans="2:6" x14ac:dyDescent="0.45">
      <c r="B35" s="20" t="s">
        <v>7</v>
      </c>
      <c r="C35" s="8">
        <v>-3.2000000000000001E-2</v>
      </c>
      <c r="D35" s="5">
        <v>-0.14799999999999999</v>
      </c>
      <c r="E35" s="5">
        <v>-0.04</v>
      </c>
      <c r="F35" s="5">
        <v>0</v>
      </c>
    </row>
    <row r="36" spans="2:6" x14ac:dyDescent="0.45">
      <c r="B36" s="18" t="s">
        <v>10</v>
      </c>
      <c r="C36" s="9"/>
    </row>
    <row r="37" spans="2:6" x14ac:dyDescent="0.45">
      <c r="B37" s="19" t="s">
        <v>4</v>
      </c>
      <c r="C37" s="7">
        <v>17</v>
      </c>
      <c r="D37" s="2">
        <v>13</v>
      </c>
      <c r="E37" s="2">
        <v>13</v>
      </c>
      <c r="F37" s="2">
        <v>15</v>
      </c>
    </row>
    <row r="38" spans="2:6" x14ac:dyDescent="0.45">
      <c r="B38" s="19" t="s">
        <v>6</v>
      </c>
      <c r="C38" s="7">
        <v>-3</v>
      </c>
      <c r="D38" s="2">
        <v>1</v>
      </c>
      <c r="E38" s="2">
        <v>0</v>
      </c>
      <c r="F38" s="2">
        <v>0</v>
      </c>
    </row>
    <row r="39" spans="2:6" x14ac:dyDescent="0.45">
      <c r="B39" s="20" t="s">
        <v>7</v>
      </c>
      <c r="C39" s="8">
        <v>-0.22500000000000001</v>
      </c>
      <c r="D39" s="5">
        <v>0.104</v>
      </c>
      <c r="E39" s="5">
        <v>0.06</v>
      </c>
      <c r="F39" s="5">
        <v>0</v>
      </c>
    </row>
    <row r="40" spans="2:6" x14ac:dyDescent="0.45">
      <c r="B40" s="49" t="s">
        <v>34</v>
      </c>
      <c r="C40" s="74">
        <v>1</v>
      </c>
      <c r="D40" s="74" t="s">
        <v>33</v>
      </c>
      <c r="E40" s="74">
        <v>-1</v>
      </c>
      <c r="F40" s="53" t="s">
        <v>42</v>
      </c>
    </row>
    <row r="41" spans="2:6" x14ac:dyDescent="0.45">
      <c r="B41" s="18" t="s">
        <v>11</v>
      </c>
      <c r="C41" s="9"/>
    </row>
    <row r="42" spans="2:6" x14ac:dyDescent="0.45">
      <c r="B42" s="19" t="s">
        <v>4</v>
      </c>
      <c r="C42" s="7">
        <v>1750</v>
      </c>
      <c r="D42" s="2">
        <v>1794</v>
      </c>
      <c r="E42" s="2">
        <v>1776</v>
      </c>
      <c r="F42" s="2">
        <v>1700</v>
      </c>
    </row>
    <row r="43" spans="2:6" x14ac:dyDescent="0.45">
      <c r="B43" s="19" t="s">
        <v>6</v>
      </c>
      <c r="C43" s="7">
        <v>158</v>
      </c>
      <c r="D43" s="2">
        <v>129</v>
      </c>
      <c r="E43" s="2">
        <v>88</v>
      </c>
      <c r="F43" s="2">
        <v>100</v>
      </c>
    </row>
    <row r="44" spans="2:6" x14ac:dyDescent="0.45">
      <c r="B44" s="20" t="s">
        <v>7</v>
      </c>
      <c r="C44" s="8">
        <v>9.0999999999999998E-2</v>
      </c>
      <c r="D44" s="5">
        <v>7.1999999999999995E-2</v>
      </c>
      <c r="E44" s="5">
        <v>0.05</v>
      </c>
      <c r="F44" s="5">
        <v>5.8999999999999997E-2</v>
      </c>
    </row>
    <row r="46" spans="2:6" x14ac:dyDescent="0.45">
      <c r="B46" s="70" t="s">
        <v>46</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7F17E-073A-405F-B347-10702E63F958}">
  <dimension ref="A1:R48"/>
  <sheetViews>
    <sheetView showGridLines="0" topLeftCell="A31" zoomScale="85" zoomScaleNormal="85" workbookViewId="0">
      <pane xSplit="2" topLeftCell="C1" activePane="topRight" state="frozen"/>
      <selection pane="topRight" activeCell="B47" sqref="B47"/>
    </sheetView>
  </sheetViews>
  <sheetFormatPr defaultRowHeight="18" x14ac:dyDescent="0.45"/>
  <cols>
    <col min="2" max="2" width="27.796875" customWidth="1"/>
    <col min="4" max="4" width="9.69921875" bestFit="1" customWidth="1"/>
  </cols>
  <sheetData>
    <row r="1" spans="1:18" x14ac:dyDescent="0.45">
      <c r="A1" t="s">
        <v>9</v>
      </c>
    </row>
    <row r="3" spans="1:18" x14ac:dyDescent="0.45">
      <c r="B3" s="44" t="s">
        <v>69</v>
      </c>
      <c r="C3" s="91">
        <v>2022</v>
      </c>
      <c r="D3" s="92"/>
      <c r="E3" s="92"/>
      <c r="F3" s="92"/>
      <c r="G3" s="91">
        <v>2023</v>
      </c>
      <c r="H3" s="92"/>
      <c r="I3" s="92"/>
      <c r="J3" s="92"/>
      <c r="K3" s="91">
        <v>2024</v>
      </c>
      <c r="L3" s="92"/>
      <c r="M3" s="92"/>
      <c r="N3" s="92"/>
      <c r="O3" s="91">
        <v>2025</v>
      </c>
      <c r="P3" s="92"/>
      <c r="Q3" s="92"/>
      <c r="R3" s="92"/>
    </row>
    <row r="4" spans="1:18" x14ac:dyDescent="0.45">
      <c r="B4" s="10"/>
      <c r="C4" s="21" t="s">
        <v>27</v>
      </c>
      <c r="D4" s="22" t="s">
        <v>28</v>
      </c>
      <c r="E4" s="22" t="s">
        <v>29</v>
      </c>
      <c r="F4" s="22" t="s">
        <v>30</v>
      </c>
      <c r="G4" s="21" t="s">
        <v>27</v>
      </c>
      <c r="H4" s="22" t="s">
        <v>28</v>
      </c>
      <c r="I4" s="22" t="s">
        <v>29</v>
      </c>
      <c r="J4" s="22" t="s">
        <v>30</v>
      </c>
      <c r="K4" s="21" t="s">
        <v>27</v>
      </c>
      <c r="L4" s="22" t="s">
        <v>28</v>
      </c>
      <c r="M4" s="22" t="s">
        <v>29</v>
      </c>
      <c r="N4" s="22" t="s">
        <v>30</v>
      </c>
      <c r="O4" s="21" t="s">
        <v>27</v>
      </c>
      <c r="P4" s="22" t="s">
        <v>28</v>
      </c>
      <c r="Q4" s="22" t="s">
        <v>29</v>
      </c>
      <c r="R4" s="22" t="s">
        <v>30</v>
      </c>
    </row>
    <row r="5" spans="1:18" x14ac:dyDescent="0.45">
      <c r="B5" s="18" t="s">
        <v>0</v>
      </c>
      <c r="C5" s="6"/>
      <c r="D5" s="4"/>
      <c r="F5" s="4"/>
      <c r="G5" s="9"/>
      <c r="K5" s="6"/>
      <c r="O5" s="6"/>
    </row>
    <row r="6" spans="1:18" x14ac:dyDescent="0.45">
      <c r="B6" s="19" t="s">
        <v>4</v>
      </c>
      <c r="C6" s="7">
        <v>198</v>
      </c>
      <c r="D6" s="2">
        <v>275</v>
      </c>
      <c r="E6" s="2">
        <v>193</v>
      </c>
      <c r="F6" s="2">
        <v>228</v>
      </c>
      <c r="G6" s="7">
        <v>174</v>
      </c>
      <c r="H6" s="2">
        <v>203</v>
      </c>
      <c r="I6" s="2">
        <v>225</v>
      </c>
      <c r="J6" s="2">
        <v>217</v>
      </c>
      <c r="K6" s="7">
        <v>155</v>
      </c>
      <c r="L6" s="2">
        <v>220</v>
      </c>
      <c r="M6" s="2">
        <v>170</v>
      </c>
      <c r="N6" s="2">
        <v>243</v>
      </c>
      <c r="O6" s="7">
        <v>158</v>
      </c>
      <c r="P6" s="2">
        <v>186</v>
      </c>
      <c r="Q6" s="2">
        <v>185</v>
      </c>
      <c r="R6" s="2">
        <v>201</v>
      </c>
    </row>
    <row r="7" spans="1:18" x14ac:dyDescent="0.45">
      <c r="B7" s="19" t="s">
        <v>6</v>
      </c>
      <c r="C7" s="7">
        <v>39</v>
      </c>
      <c r="D7" s="2">
        <v>69</v>
      </c>
      <c r="E7" s="2">
        <v>41</v>
      </c>
      <c r="F7" s="2">
        <v>31</v>
      </c>
      <c r="G7" s="7">
        <v>22</v>
      </c>
      <c r="H7" s="2">
        <v>17</v>
      </c>
      <c r="I7" s="2">
        <v>40</v>
      </c>
      <c r="J7" s="2">
        <v>28</v>
      </c>
      <c r="K7" s="7">
        <v>10</v>
      </c>
      <c r="L7" s="2">
        <v>41</v>
      </c>
      <c r="M7" s="2">
        <v>18</v>
      </c>
      <c r="N7" s="2">
        <v>25</v>
      </c>
      <c r="O7" s="7">
        <v>3</v>
      </c>
      <c r="P7" s="2">
        <v>17</v>
      </c>
      <c r="Q7" s="2">
        <v>17</v>
      </c>
      <c r="R7" s="2">
        <v>16</v>
      </c>
    </row>
    <row r="8" spans="1:18" x14ac:dyDescent="0.45">
      <c r="B8" s="27" t="s">
        <v>7</v>
      </c>
      <c r="C8" s="58">
        <v>0.19800000000000001</v>
      </c>
      <c r="D8" s="59">
        <v>0.254</v>
      </c>
      <c r="E8" s="59">
        <v>0.214</v>
      </c>
      <c r="F8" s="59">
        <v>0.14000000000000001</v>
      </c>
      <c r="G8" s="58">
        <v>0.129</v>
      </c>
      <c r="H8" s="59">
        <v>8.4000000000000005E-2</v>
      </c>
      <c r="I8" s="59">
        <v>0.18099999999999999</v>
      </c>
      <c r="J8" s="59">
        <v>0.13100000000000001</v>
      </c>
      <c r="K8" s="58">
        <v>6.7000000000000004E-2</v>
      </c>
      <c r="L8" s="59">
        <v>0.191</v>
      </c>
      <c r="M8" s="59">
        <v>0.109</v>
      </c>
      <c r="N8" s="59">
        <v>0.104</v>
      </c>
      <c r="O8" s="58">
        <v>2.1000000000000001E-2</v>
      </c>
      <c r="P8" s="59">
        <v>9.1999999999999998E-2</v>
      </c>
      <c r="Q8" s="59">
        <v>9.5000000000000001E-2</v>
      </c>
      <c r="R8" s="59">
        <v>0.08</v>
      </c>
    </row>
    <row r="9" spans="1:18" x14ac:dyDescent="0.45">
      <c r="B9" s="18" t="s">
        <v>43</v>
      </c>
      <c r="C9" s="86"/>
      <c r="G9" s="9"/>
      <c r="K9" s="9"/>
      <c r="O9" s="9"/>
    </row>
    <row r="10" spans="1:18" x14ac:dyDescent="0.45">
      <c r="B10" s="33" t="s">
        <v>13</v>
      </c>
      <c r="C10">
        <v>40</v>
      </c>
      <c r="D10">
        <f>76-C10</f>
        <v>36</v>
      </c>
      <c r="E10">
        <f>106-C10-D10</f>
        <v>30</v>
      </c>
      <c r="F10">
        <f>136-C10-D10-E10</f>
        <v>30</v>
      </c>
      <c r="G10" s="9">
        <v>33</v>
      </c>
      <c r="H10">
        <f>69-G10</f>
        <v>36</v>
      </c>
      <c r="I10">
        <f>105-G10-H10</f>
        <v>36</v>
      </c>
      <c r="J10">
        <f>140-G10-H10-I10</f>
        <v>35</v>
      </c>
      <c r="K10" s="9">
        <v>37</v>
      </c>
      <c r="L10">
        <f>76-K10</f>
        <v>39</v>
      </c>
      <c r="M10">
        <f>112-K10-L10</f>
        <v>36</v>
      </c>
      <c r="N10">
        <f>149-K10-L10-M10</f>
        <v>37</v>
      </c>
      <c r="O10" s="9">
        <v>37</v>
      </c>
      <c r="P10">
        <f>76-O10</f>
        <v>39</v>
      </c>
      <c r="Q10">
        <f>113-O10-P10</f>
        <v>37</v>
      </c>
      <c r="R10" s="44" t="s">
        <v>39</v>
      </c>
    </row>
    <row r="11" spans="1:18" x14ac:dyDescent="0.45">
      <c r="B11" s="33" t="s">
        <v>14</v>
      </c>
      <c r="C11">
        <v>13</v>
      </c>
      <c r="D11">
        <f>32-C11</f>
        <v>19</v>
      </c>
      <c r="E11">
        <f>51-C11-D11</f>
        <v>19</v>
      </c>
      <c r="F11">
        <f>63-C11-D11-E11</f>
        <v>12</v>
      </c>
      <c r="G11" s="9">
        <v>13</v>
      </c>
      <c r="H11">
        <f>27-G11</f>
        <v>14</v>
      </c>
      <c r="I11">
        <f>41-G11-H11</f>
        <v>14</v>
      </c>
      <c r="J11">
        <f>55-G11-H11-I11</f>
        <v>14</v>
      </c>
      <c r="K11" s="9">
        <v>14</v>
      </c>
      <c r="L11">
        <f>31-K11</f>
        <v>17</v>
      </c>
      <c r="M11">
        <f>46-K11-L11</f>
        <v>15</v>
      </c>
      <c r="N11">
        <f>60-K11-L11-M11</f>
        <v>14</v>
      </c>
      <c r="O11" s="9">
        <v>13</v>
      </c>
      <c r="P11">
        <f>26-O11</f>
        <v>13</v>
      </c>
      <c r="Q11">
        <f>38-O11-P11</f>
        <v>12</v>
      </c>
      <c r="R11" s="44" t="s">
        <v>39</v>
      </c>
    </row>
    <row r="12" spans="1:18" x14ac:dyDescent="0.45">
      <c r="B12" s="33" t="s">
        <v>15</v>
      </c>
      <c r="C12">
        <v>32</v>
      </c>
      <c r="D12">
        <f>64-C12</f>
        <v>32</v>
      </c>
      <c r="E12">
        <f>92-C12-D12</f>
        <v>28</v>
      </c>
      <c r="F12">
        <f>115-C12-D12-E12</f>
        <v>23</v>
      </c>
      <c r="G12" s="9">
        <v>27</v>
      </c>
      <c r="H12">
        <f>54-G12</f>
        <v>27</v>
      </c>
      <c r="I12">
        <f>80-G12-H12</f>
        <v>26</v>
      </c>
      <c r="J12">
        <f>102-G12-H12-I12</f>
        <v>22</v>
      </c>
      <c r="K12" s="9">
        <v>27</v>
      </c>
      <c r="L12">
        <f>56-K12</f>
        <v>29</v>
      </c>
      <c r="M12">
        <f>84-K12-L12</f>
        <v>28</v>
      </c>
      <c r="N12">
        <f>109-K12-L12-M12</f>
        <v>25</v>
      </c>
      <c r="O12" s="9">
        <v>28</v>
      </c>
      <c r="P12">
        <f>61-O12</f>
        <v>33</v>
      </c>
      <c r="Q12">
        <f>95-O12-P12</f>
        <v>34</v>
      </c>
      <c r="R12" s="44" t="s">
        <v>39</v>
      </c>
    </row>
    <row r="13" spans="1:18" x14ac:dyDescent="0.45">
      <c r="B13" s="28" t="s">
        <v>16</v>
      </c>
      <c r="C13" s="1">
        <v>86</v>
      </c>
      <c r="D13" s="1">
        <f>173-C13</f>
        <v>87</v>
      </c>
      <c r="E13" s="1">
        <f>251-C13-D13</f>
        <v>78</v>
      </c>
      <c r="F13" s="1">
        <f>315-C13-D13-E13</f>
        <v>64</v>
      </c>
      <c r="G13" s="12">
        <v>74</v>
      </c>
      <c r="H13" s="1">
        <f>151-G13</f>
        <v>77</v>
      </c>
      <c r="I13" s="1">
        <f>227-G13-H13</f>
        <v>76</v>
      </c>
      <c r="J13" s="1">
        <f>298-G13-H13-I13</f>
        <v>71</v>
      </c>
      <c r="K13" s="12">
        <v>80</v>
      </c>
      <c r="L13" s="1">
        <f>164-K13</f>
        <v>84</v>
      </c>
      <c r="M13" s="1">
        <f>242-K13-L13</f>
        <v>78</v>
      </c>
      <c r="N13" s="1">
        <f>319-K13-L13-M13</f>
        <v>77</v>
      </c>
      <c r="O13" s="12">
        <v>80</v>
      </c>
      <c r="P13" s="1">
        <f>164-O13</f>
        <v>84</v>
      </c>
      <c r="Q13" s="1">
        <f>248-O13-P13</f>
        <v>84</v>
      </c>
      <c r="R13" s="55" t="s">
        <v>39</v>
      </c>
    </row>
    <row r="14" spans="1:18" x14ac:dyDescent="0.45">
      <c r="B14" s="33" t="s">
        <v>17</v>
      </c>
      <c r="C14">
        <v>69</v>
      </c>
      <c r="D14">
        <f>195-C14</f>
        <v>126</v>
      </c>
      <c r="E14">
        <f>258-C14-D14</f>
        <v>63</v>
      </c>
      <c r="F14">
        <f>345-C14-D14-E14</f>
        <v>87</v>
      </c>
      <c r="G14" s="9">
        <v>54</v>
      </c>
      <c r="H14">
        <f>132-G14</f>
        <v>78</v>
      </c>
      <c r="I14">
        <f>238-G14-H14</f>
        <v>106</v>
      </c>
      <c r="J14">
        <f>329-G14-H14-I14</f>
        <v>91</v>
      </c>
      <c r="K14" s="9">
        <v>38</v>
      </c>
      <c r="L14">
        <f>118-K14</f>
        <v>80</v>
      </c>
      <c r="M14">
        <f>172-K14-L14</f>
        <v>54</v>
      </c>
      <c r="N14">
        <f>290-K14-L14-M14</f>
        <v>118</v>
      </c>
      <c r="O14" s="9">
        <v>38</v>
      </c>
      <c r="P14">
        <f>98-O14</f>
        <v>60</v>
      </c>
      <c r="Q14">
        <f>164-O14-P14</f>
        <v>66</v>
      </c>
      <c r="R14" s="44" t="s">
        <v>39</v>
      </c>
    </row>
    <row r="15" spans="1:18" x14ac:dyDescent="0.45">
      <c r="B15" s="33" t="s">
        <v>18</v>
      </c>
      <c r="C15">
        <v>43</v>
      </c>
      <c r="D15">
        <f>104-C15</f>
        <v>61</v>
      </c>
      <c r="E15">
        <f>157-C15-D15</f>
        <v>53</v>
      </c>
      <c r="F15">
        <f>233-C15-D15-E15</f>
        <v>76</v>
      </c>
      <c r="G15" s="9">
        <v>46</v>
      </c>
      <c r="H15">
        <f>93-G15</f>
        <v>47</v>
      </c>
      <c r="I15">
        <f>137-G15-H15</f>
        <v>44</v>
      </c>
      <c r="J15">
        <f>193-G15-H15-I15</f>
        <v>56</v>
      </c>
      <c r="K15" s="9">
        <v>37</v>
      </c>
      <c r="L15">
        <f>93-K15</f>
        <v>56</v>
      </c>
      <c r="M15">
        <f>130-K15-L15</f>
        <v>37</v>
      </c>
      <c r="N15">
        <f>179-K15-L15-M15</f>
        <v>49</v>
      </c>
      <c r="O15" s="9">
        <v>40</v>
      </c>
      <c r="P15">
        <f>81-O15</f>
        <v>41</v>
      </c>
      <c r="Q15">
        <f>116-O15-P15</f>
        <v>35</v>
      </c>
      <c r="R15" s="44" t="s">
        <v>39</v>
      </c>
    </row>
    <row r="16" spans="1:18" x14ac:dyDescent="0.45">
      <c r="B16" s="34" t="s">
        <v>19</v>
      </c>
      <c r="C16" s="14">
        <v>112</v>
      </c>
      <c r="D16" s="14">
        <f>300-C16</f>
        <v>188</v>
      </c>
      <c r="E16" s="14">
        <f>415-C16-D16</f>
        <v>115</v>
      </c>
      <c r="F16" s="14">
        <f>579-C16-D16-E16</f>
        <v>164</v>
      </c>
      <c r="G16" s="13">
        <v>100</v>
      </c>
      <c r="H16" s="14">
        <f>226-G16</f>
        <v>126</v>
      </c>
      <c r="I16" s="14">
        <f>375-G16-H16</f>
        <v>149</v>
      </c>
      <c r="J16" s="14">
        <f>522-G16-H16-I16</f>
        <v>147</v>
      </c>
      <c r="K16" s="13">
        <v>75</v>
      </c>
      <c r="L16" s="14">
        <f>211-K16</f>
        <v>136</v>
      </c>
      <c r="M16" s="14">
        <f>303-K16-L16</f>
        <v>92</v>
      </c>
      <c r="N16" s="14">
        <f>469-K16-L16-M16</f>
        <v>166</v>
      </c>
      <c r="O16" s="13">
        <v>78</v>
      </c>
      <c r="P16" s="14">
        <f>179-O16</f>
        <v>101</v>
      </c>
      <c r="Q16" s="14">
        <f>281-O16-P16</f>
        <v>102</v>
      </c>
      <c r="R16" s="56" t="s">
        <v>39</v>
      </c>
    </row>
    <row r="17" spans="1:18" x14ac:dyDescent="0.45">
      <c r="B17" s="18" t="s">
        <v>5</v>
      </c>
      <c r="C17" s="9"/>
      <c r="G17" s="9"/>
      <c r="K17" s="9"/>
      <c r="O17" s="9"/>
    </row>
    <row r="18" spans="1:18" x14ac:dyDescent="0.45">
      <c r="B18" s="19" t="s">
        <v>4</v>
      </c>
      <c r="C18" s="7">
        <v>155</v>
      </c>
      <c r="D18" s="2">
        <v>166</v>
      </c>
      <c r="E18" s="2">
        <v>174</v>
      </c>
      <c r="F18" s="2">
        <v>192</v>
      </c>
      <c r="G18" s="7">
        <v>176</v>
      </c>
      <c r="H18" s="2">
        <v>212</v>
      </c>
      <c r="I18" s="2">
        <v>203</v>
      </c>
      <c r="J18" s="2">
        <v>212</v>
      </c>
      <c r="K18" s="7">
        <v>175</v>
      </c>
      <c r="L18" s="2">
        <v>216</v>
      </c>
      <c r="M18" s="2">
        <v>211</v>
      </c>
      <c r="N18" s="2">
        <v>205</v>
      </c>
      <c r="O18" s="7">
        <v>183</v>
      </c>
      <c r="P18" s="2">
        <v>197</v>
      </c>
      <c r="Q18" s="2">
        <v>225</v>
      </c>
      <c r="R18" s="2">
        <v>185</v>
      </c>
    </row>
    <row r="19" spans="1:18" x14ac:dyDescent="0.45">
      <c r="B19" s="19" t="s">
        <v>6</v>
      </c>
      <c r="C19" s="7">
        <v>12</v>
      </c>
      <c r="D19" s="2">
        <v>8</v>
      </c>
      <c r="E19" s="2">
        <v>6</v>
      </c>
      <c r="F19" s="2">
        <v>7</v>
      </c>
      <c r="G19" s="7">
        <v>6</v>
      </c>
      <c r="H19" s="2">
        <v>23</v>
      </c>
      <c r="I19" s="2">
        <v>15</v>
      </c>
      <c r="J19" s="2">
        <v>12</v>
      </c>
      <c r="K19" s="7">
        <v>-4</v>
      </c>
      <c r="L19" s="2">
        <v>3</v>
      </c>
      <c r="M19" s="2">
        <v>15</v>
      </c>
      <c r="N19" s="2">
        <v>-7</v>
      </c>
      <c r="O19" s="7">
        <v>3</v>
      </c>
      <c r="P19" s="2">
        <v>14</v>
      </c>
      <c r="Q19" s="2">
        <v>17</v>
      </c>
      <c r="R19" s="2">
        <v>11</v>
      </c>
    </row>
    <row r="20" spans="1:18" x14ac:dyDescent="0.45">
      <c r="B20" s="27" t="s">
        <v>7</v>
      </c>
      <c r="C20" s="58">
        <v>7.8E-2</v>
      </c>
      <c r="D20" s="59">
        <v>5.1999999999999998E-2</v>
      </c>
      <c r="E20" s="59">
        <v>3.5999999999999997E-2</v>
      </c>
      <c r="F20" s="59">
        <v>0.04</v>
      </c>
      <c r="G20" s="58">
        <v>3.5000000000000003E-2</v>
      </c>
      <c r="H20" s="59">
        <v>0.112</v>
      </c>
      <c r="I20" s="59">
        <v>7.8E-2</v>
      </c>
      <c r="J20" s="59">
        <v>6.0999999999999999E-2</v>
      </c>
      <c r="K20" s="58">
        <v>-2.7E-2</v>
      </c>
      <c r="L20" s="59">
        <v>1.6E-2</v>
      </c>
      <c r="M20" s="59">
        <v>7.4999999999999997E-2</v>
      </c>
      <c r="N20" s="59">
        <v>-3.5000000000000003E-2</v>
      </c>
      <c r="O20" s="58">
        <v>1.9E-2</v>
      </c>
      <c r="P20" s="59">
        <v>7.3999999999999996E-2</v>
      </c>
      <c r="Q20" s="59">
        <v>7.8E-2</v>
      </c>
      <c r="R20" s="59">
        <v>5.8999999999999997E-2</v>
      </c>
    </row>
    <row r="21" spans="1:18" x14ac:dyDescent="0.45">
      <c r="B21" s="18" t="s">
        <v>43</v>
      </c>
      <c r="G21" s="9"/>
      <c r="K21" s="9"/>
      <c r="O21" s="9"/>
    </row>
    <row r="22" spans="1:18" x14ac:dyDescent="0.45">
      <c r="B22" s="33" t="s">
        <v>20</v>
      </c>
      <c r="C22">
        <v>34</v>
      </c>
      <c r="D22">
        <f>74-C22</f>
        <v>40</v>
      </c>
      <c r="E22">
        <f>109-C22-D22</f>
        <v>35</v>
      </c>
      <c r="F22">
        <f>138-C22-D22-E22</f>
        <v>29</v>
      </c>
      <c r="G22" s="9">
        <v>30</v>
      </c>
      <c r="H22">
        <f>65-G22</f>
        <v>35</v>
      </c>
      <c r="I22">
        <f>95-G22-H22</f>
        <v>30</v>
      </c>
      <c r="J22">
        <f>126-G22-H22-I22</f>
        <v>31</v>
      </c>
      <c r="K22" s="9">
        <v>28</v>
      </c>
      <c r="L22">
        <f>57-K22</f>
        <v>29</v>
      </c>
      <c r="M22">
        <f>83-K22-L22</f>
        <v>26</v>
      </c>
      <c r="N22">
        <f>105-K22-L22-M22</f>
        <v>22</v>
      </c>
      <c r="O22" s="9">
        <v>22</v>
      </c>
      <c r="P22">
        <f>47-O22</f>
        <v>25</v>
      </c>
      <c r="Q22">
        <f>70-O22-P22</f>
        <v>23</v>
      </c>
      <c r="R22" s="44" t="s">
        <v>39</v>
      </c>
    </row>
    <row r="23" spans="1:18" x14ac:dyDescent="0.45">
      <c r="B23" s="33" t="s">
        <v>21</v>
      </c>
      <c r="C23">
        <v>7</v>
      </c>
      <c r="D23">
        <f>14-C23</f>
        <v>7</v>
      </c>
      <c r="E23">
        <f>23-C23-D23</f>
        <v>9</v>
      </c>
      <c r="F23">
        <f>36-C23-D23-E23</f>
        <v>13</v>
      </c>
      <c r="G23" s="9">
        <v>7</v>
      </c>
      <c r="H23">
        <f>15-G23</f>
        <v>8</v>
      </c>
      <c r="I23">
        <f>24-G23-H23</f>
        <v>9</v>
      </c>
      <c r="J23">
        <f>36-G23-H23-I23</f>
        <v>12</v>
      </c>
      <c r="K23" s="9">
        <v>9</v>
      </c>
      <c r="L23">
        <f>18-K23</f>
        <v>9</v>
      </c>
      <c r="M23">
        <f>27-K23-L23</f>
        <v>9</v>
      </c>
      <c r="N23">
        <f>36-K23-L23-M23</f>
        <v>9</v>
      </c>
      <c r="O23" s="9">
        <v>7</v>
      </c>
      <c r="P23">
        <f>15-O23</f>
        <v>8</v>
      </c>
      <c r="Q23">
        <f>24-O23-P23</f>
        <v>9</v>
      </c>
      <c r="R23" s="44" t="s">
        <v>39</v>
      </c>
    </row>
    <row r="24" spans="1:18" x14ac:dyDescent="0.45">
      <c r="B24" s="28" t="s">
        <v>22</v>
      </c>
      <c r="C24" s="1">
        <v>42</v>
      </c>
      <c r="D24" s="1">
        <f>88-C24</f>
        <v>46</v>
      </c>
      <c r="E24" s="1">
        <f>133-C24-D24</f>
        <v>45</v>
      </c>
      <c r="F24" s="1">
        <f>175-C24-D24-E24</f>
        <v>42</v>
      </c>
      <c r="G24" s="12">
        <v>38</v>
      </c>
      <c r="H24" s="1">
        <f>81-G24</f>
        <v>43</v>
      </c>
      <c r="I24" s="1">
        <f>120-G24-H24</f>
        <v>39</v>
      </c>
      <c r="J24" s="1">
        <f>163-G24-H24-I24</f>
        <v>43</v>
      </c>
      <c r="K24" s="12">
        <v>37</v>
      </c>
      <c r="L24" s="1">
        <f>75-K24</f>
        <v>38</v>
      </c>
      <c r="M24" s="1">
        <f>110-K24-L24</f>
        <v>35</v>
      </c>
      <c r="N24" s="1">
        <f>141-K24-L24-M24</f>
        <v>31</v>
      </c>
      <c r="O24" s="12">
        <v>30</v>
      </c>
      <c r="P24" s="1">
        <f>62-O24</f>
        <v>32</v>
      </c>
      <c r="Q24" s="1">
        <f>94-O24-P24</f>
        <v>32</v>
      </c>
      <c r="R24" s="55" t="s">
        <v>39</v>
      </c>
    </row>
    <row r="25" spans="1:18" x14ac:dyDescent="0.45">
      <c r="B25" s="33" t="s">
        <v>23</v>
      </c>
      <c r="C25">
        <v>46</v>
      </c>
      <c r="D25">
        <f>87-C25</f>
        <v>41</v>
      </c>
      <c r="E25">
        <f>144-C25-D25</f>
        <v>57</v>
      </c>
      <c r="F25">
        <f>207-C25-D25-E25</f>
        <v>63</v>
      </c>
      <c r="G25" s="9">
        <v>67</v>
      </c>
      <c r="H25">
        <f>146-G25</f>
        <v>79</v>
      </c>
      <c r="I25">
        <f>235-G25-H25</f>
        <v>89</v>
      </c>
      <c r="J25">
        <f>313-G25-H25-I25</f>
        <v>78</v>
      </c>
      <c r="K25" s="9">
        <v>59</v>
      </c>
      <c r="L25">
        <f>149-K25</f>
        <v>90</v>
      </c>
      <c r="M25">
        <f>244-K25-L25</f>
        <v>95</v>
      </c>
      <c r="N25">
        <f>319-K25-L25-M25</f>
        <v>75</v>
      </c>
      <c r="O25" s="9">
        <v>75</v>
      </c>
      <c r="P25">
        <f>153-O25</f>
        <v>78</v>
      </c>
      <c r="Q25">
        <f>239-O25-P25</f>
        <v>86</v>
      </c>
      <c r="R25" s="44" t="s">
        <v>39</v>
      </c>
    </row>
    <row r="26" spans="1:18" x14ac:dyDescent="0.45">
      <c r="B26" s="33" t="s">
        <v>24</v>
      </c>
      <c r="C26">
        <v>67</v>
      </c>
      <c r="D26">
        <f>145-C26</f>
        <v>78</v>
      </c>
      <c r="E26">
        <f>218-C26-D26</f>
        <v>73</v>
      </c>
      <c r="F26">
        <f>305-C26-D26-E26</f>
        <v>87</v>
      </c>
      <c r="G26" s="9">
        <v>69</v>
      </c>
      <c r="H26">
        <f>160-G26</f>
        <v>91</v>
      </c>
      <c r="I26">
        <f>237-G26-H26</f>
        <v>77</v>
      </c>
      <c r="J26">
        <f>328-G26-H26-I26</f>
        <v>91</v>
      </c>
      <c r="K26" s="9">
        <v>78</v>
      </c>
      <c r="L26">
        <f>167-K26</f>
        <v>89</v>
      </c>
      <c r="M26">
        <f>248-K26-L26</f>
        <v>81</v>
      </c>
      <c r="N26">
        <f>347-K26-L26-M26</f>
        <v>99</v>
      </c>
      <c r="O26" s="9">
        <v>76</v>
      </c>
      <c r="P26">
        <f>164-O26</f>
        <v>88</v>
      </c>
      <c r="Q26">
        <f>271-O26-P26</f>
        <v>107</v>
      </c>
      <c r="R26" s="44" t="s">
        <v>39</v>
      </c>
    </row>
    <row r="27" spans="1:18" x14ac:dyDescent="0.45">
      <c r="B27" s="34" t="s">
        <v>25</v>
      </c>
      <c r="C27" s="14">
        <v>113</v>
      </c>
      <c r="D27" s="14">
        <f>233-C27</f>
        <v>120</v>
      </c>
      <c r="E27" s="14">
        <f>363-C27-D27</f>
        <v>130</v>
      </c>
      <c r="F27" s="14">
        <f>513-C27-D27-E27</f>
        <v>150</v>
      </c>
      <c r="G27" s="13">
        <v>137</v>
      </c>
      <c r="H27" s="14">
        <f>307-G27</f>
        <v>170</v>
      </c>
      <c r="I27" s="14">
        <f>472-G27-H27</f>
        <v>165</v>
      </c>
      <c r="J27" s="14">
        <f>641-G27-H27-I27</f>
        <v>169</v>
      </c>
      <c r="K27" s="13">
        <v>137</v>
      </c>
      <c r="L27" s="14">
        <f>316-K27</f>
        <v>179</v>
      </c>
      <c r="M27" s="14">
        <f>493-K27-L27</f>
        <v>177</v>
      </c>
      <c r="N27" s="14">
        <f>667-K27-L27-M27</f>
        <v>174</v>
      </c>
      <c r="O27" s="13">
        <v>152</v>
      </c>
      <c r="P27" s="14">
        <f>317-O27</f>
        <v>165</v>
      </c>
      <c r="Q27" s="14">
        <f>511-O27-P27</f>
        <v>194</v>
      </c>
      <c r="R27" s="56" t="s">
        <v>39</v>
      </c>
    </row>
    <row r="28" spans="1:18" x14ac:dyDescent="0.45">
      <c r="B28" s="18" t="s">
        <v>1</v>
      </c>
      <c r="C28" s="9"/>
      <c r="G28" s="9"/>
      <c r="K28" s="9"/>
      <c r="O28" s="9"/>
    </row>
    <row r="29" spans="1:18" x14ac:dyDescent="0.45">
      <c r="B29" s="19" t="s">
        <v>4</v>
      </c>
      <c r="C29" s="7">
        <v>14</v>
      </c>
      <c r="D29" s="2">
        <v>13</v>
      </c>
      <c r="E29" s="2">
        <v>12</v>
      </c>
      <c r="F29" s="2">
        <v>15</v>
      </c>
      <c r="G29" s="7">
        <v>13</v>
      </c>
      <c r="H29" s="2">
        <v>13</v>
      </c>
      <c r="I29" s="2">
        <v>13</v>
      </c>
      <c r="J29" s="2">
        <v>11</v>
      </c>
      <c r="K29" s="7">
        <v>15</v>
      </c>
      <c r="L29" s="2">
        <v>15</v>
      </c>
      <c r="M29" s="2">
        <v>14</v>
      </c>
      <c r="N29" s="2">
        <v>16</v>
      </c>
      <c r="O29" s="7">
        <v>15</v>
      </c>
      <c r="P29" s="2">
        <v>16</v>
      </c>
      <c r="Q29" s="2">
        <v>14</v>
      </c>
      <c r="R29" s="2">
        <v>15</v>
      </c>
    </row>
    <row r="30" spans="1:18" x14ac:dyDescent="0.45">
      <c r="A30" t="s">
        <v>8</v>
      </c>
      <c r="B30" s="19" t="s">
        <v>6</v>
      </c>
      <c r="C30" s="7">
        <v>-6</v>
      </c>
      <c r="D30" s="2">
        <v>-21</v>
      </c>
      <c r="E30" s="2">
        <v>-11</v>
      </c>
      <c r="F30" s="2">
        <v>-11</v>
      </c>
      <c r="G30" s="7">
        <v>-4</v>
      </c>
      <c r="H30" s="2">
        <v>-7</v>
      </c>
      <c r="I30" s="2">
        <v>-4</v>
      </c>
      <c r="J30" s="2">
        <v>-6</v>
      </c>
      <c r="K30" s="7">
        <v>-1</v>
      </c>
      <c r="L30" s="2">
        <v>-3</v>
      </c>
      <c r="M30" s="2">
        <v>-2</v>
      </c>
      <c r="N30" s="2">
        <v>-2</v>
      </c>
      <c r="O30" s="7">
        <v>1</v>
      </c>
      <c r="P30" s="2">
        <v>0</v>
      </c>
      <c r="Q30" s="2">
        <v>0</v>
      </c>
      <c r="R30" s="2">
        <v>1</v>
      </c>
    </row>
    <row r="31" spans="1:18" x14ac:dyDescent="0.45">
      <c r="B31" s="20" t="s">
        <v>7</v>
      </c>
      <c r="C31" s="8">
        <v>-0.47499999999999998</v>
      </c>
      <c r="D31" s="5">
        <v>-1.583</v>
      </c>
      <c r="E31" s="5">
        <v>-0.93300000000000005</v>
      </c>
      <c r="F31" s="5">
        <v>-0.73</v>
      </c>
      <c r="G31" s="8">
        <v>-0.32700000000000001</v>
      </c>
      <c r="H31" s="5">
        <v>-0.57099999999999995</v>
      </c>
      <c r="I31" s="5">
        <v>-0.36099999999999999</v>
      </c>
      <c r="J31" s="5">
        <v>-0.54600000000000004</v>
      </c>
      <c r="K31" s="8">
        <v>-0.111</v>
      </c>
      <c r="L31" s="5">
        <v>-0.254</v>
      </c>
      <c r="M31" s="5">
        <v>-0.16700000000000001</v>
      </c>
      <c r="N31" s="5">
        <v>-0.17599999999999999</v>
      </c>
      <c r="O31" s="8">
        <v>7.1999999999999995E-2</v>
      </c>
      <c r="P31" s="5">
        <v>3.3000000000000002E-2</v>
      </c>
      <c r="Q31" s="5">
        <v>2.8000000000000001E-2</v>
      </c>
      <c r="R31" s="5">
        <v>6.7000000000000004E-2</v>
      </c>
    </row>
    <row r="32" spans="1:18" x14ac:dyDescent="0.45">
      <c r="B32" s="18" t="s">
        <v>3</v>
      </c>
      <c r="C32" s="9"/>
      <c r="G32" s="9"/>
      <c r="K32" s="9"/>
      <c r="O32" s="9"/>
    </row>
    <row r="33" spans="2:18" x14ac:dyDescent="0.45">
      <c r="B33" s="19" t="s">
        <v>4</v>
      </c>
      <c r="C33" s="7">
        <v>23</v>
      </c>
      <c r="D33" s="2">
        <v>23</v>
      </c>
      <c r="E33" s="2">
        <v>20</v>
      </c>
      <c r="F33" s="2">
        <v>25</v>
      </c>
      <c r="G33" s="7">
        <v>25</v>
      </c>
      <c r="H33" s="2">
        <v>25</v>
      </c>
      <c r="I33" s="2">
        <v>28</v>
      </c>
      <c r="J33" s="2">
        <v>23</v>
      </c>
      <c r="K33" s="7">
        <v>25</v>
      </c>
      <c r="L33" s="2">
        <v>25</v>
      </c>
      <c r="M33" s="2">
        <v>24</v>
      </c>
      <c r="N33" s="2">
        <v>26</v>
      </c>
      <c r="O33" s="7">
        <v>23</v>
      </c>
      <c r="P33" s="2">
        <v>26</v>
      </c>
      <c r="Q33" s="2">
        <v>27</v>
      </c>
      <c r="R33" s="2">
        <v>29</v>
      </c>
    </row>
    <row r="34" spans="2:18" x14ac:dyDescent="0.45">
      <c r="B34" s="19" t="s">
        <v>6</v>
      </c>
      <c r="C34" s="7">
        <v>1</v>
      </c>
      <c r="D34" s="2">
        <v>0</v>
      </c>
      <c r="E34" s="2">
        <v>-1</v>
      </c>
      <c r="F34" s="2">
        <v>-1</v>
      </c>
      <c r="G34" s="7">
        <v>-3</v>
      </c>
      <c r="H34" s="2">
        <v>-3</v>
      </c>
      <c r="I34" s="2">
        <v>-1</v>
      </c>
      <c r="J34" s="2">
        <v>-6</v>
      </c>
      <c r="K34" s="7">
        <v>0</v>
      </c>
      <c r="L34" s="2">
        <v>-2</v>
      </c>
      <c r="M34" s="2">
        <v>0</v>
      </c>
      <c r="N34" s="2">
        <v>0</v>
      </c>
      <c r="O34" s="7">
        <v>2</v>
      </c>
      <c r="P34" s="2">
        <v>-1</v>
      </c>
      <c r="Q34" s="2">
        <v>1</v>
      </c>
      <c r="R34" s="2">
        <v>-2</v>
      </c>
    </row>
    <row r="35" spans="2:18" x14ac:dyDescent="0.45">
      <c r="B35" s="20" t="s">
        <v>7</v>
      </c>
      <c r="C35" s="8">
        <v>6.0999999999999999E-2</v>
      </c>
      <c r="D35" s="5">
        <v>-0.03</v>
      </c>
      <c r="E35" s="5">
        <v>-9.0999999999999998E-2</v>
      </c>
      <c r="F35" s="5">
        <v>-7.0999999999999994E-2</v>
      </c>
      <c r="G35" s="8">
        <v>-0.129</v>
      </c>
      <c r="H35" s="5">
        <v>-0.14899999999999999</v>
      </c>
      <c r="I35" s="5">
        <v>-0.05</v>
      </c>
      <c r="J35" s="5">
        <v>-0.28899999999999998</v>
      </c>
      <c r="K35" s="8">
        <v>-2.3E-2</v>
      </c>
      <c r="L35" s="5">
        <v>-8.5999999999999993E-2</v>
      </c>
      <c r="M35" s="5">
        <v>-0.02</v>
      </c>
      <c r="N35" s="5">
        <v>-3.1E-2</v>
      </c>
      <c r="O35" s="8">
        <v>9.8000000000000004E-2</v>
      </c>
      <c r="P35" s="5">
        <v>-5.2999999999999999E-2</v>
      </c>
      <c r="Q35" s="5">
        <v>5.8999999999999997E-2</v>
      </c>
      <c r="R35" s="5">
        <v>-6.9000000000000006E-2</v>
      </c>
    </row>
    <row r="36" spans="2:18" x14ac:dyDescent="0.45">
      <c r="B36" s="18" t="s">
        <v>10</v>
      </c>
      <c r="C36" s="9"/>
      <c r="E36" s="4"/>
      <c r="G36" s="9"/>
      <c r="K36" s="9"/>
      <c r="O36" s="9"/>
    </row>
    <row r="37" spans="2:18" x14ac:dyDescent="0.45">
      <c r="B37" s="19" t="s">
        <v>4</v>
      </c>
      <c r="C37" s="7">
        <v>4</v>
      </c>
      <c r="D37" s="2">
        <v>4</v>
      </c>
      <c r="E37" s="2">
        <v>3</v>
      </c>
      <c r="F37" s="2">
        <v>4</v>
      </c>
      <c r="G37" s="7">
        <v>2</v>
      </c>
      <c r="H37" s="2">
        <v>3</v>
      </c>
      <c r="I37" s="2">
        <v>3</v>
      </c>
      <c r="J37" s="2">
        <v>3</v>
      </c>
      <c r="K37" s="7">
        <v>2</v>
      </c>
      <c r="L37" s="2">
        <v>3</v>
      </c>
      <c r="M37" s="2">
        <v>3</v>
      </c>
      <c r="N37" s="2">
        <v>3</v>
      </c>
      <c r="O37" s="7">
        <v>3</v>
      </c>
      <c r="P37" s="2">
        <v>3</v>
      </c>
      <c r="Q37" s="2">
        <v>3</v>
      </c>
      <c r="R37" s="2">
        <v>6</v>
      </c>
    </row>
    <row r="38" spans="2:18" x14ac:dyDescent="0.45">
      <c r="B38" s="19" t="s">
        <v>6</v>
      </c>
      <c r="C38" s="7">
        <v>-1</v>
      </c>
      <c r="D38" s="2">
        <v>0</v>
      </c>
      <c r="E38" s="2">
        <v>0</v>
      </c>
      <c r="F38" s="2">
        <v>-2</v>
      </c>
      <c r="G38" s="7">
        <v>0</v>
      </c>
      <c r="H38" s="2">
        <v>0</v>
      </c>
      <c r="I38" s="2">
        <v>1</v>
      </c>
      <c r="J38" s="2">
        <v>0</v>
      </c>
      <c r="K38" s="7">
        <v>0</v>
      </c>
      <c r="L38" s="2">
        <v>0</v>
      </c>
      <c r="M38" s="2">
        <v>0</v>
      </c>
      <c r="N38" s="2">
        <v>0</v>
      </c>
      <c r="O38" s="7">
        <v>0</v>
      </c>
      <c r="P38" s="2">
        <v>0</v>
      </c>
      <c r="Q38" s="2">
        <v>0</v>
      </c>
      <c r="R38" s="2">
        <v>0</v>
      </c>
    </row>
    <row r="39" spans="2:18" x14ac:dyDescent="0.45">
      <c r="B39" s="20" t="s">
        <v>7</v>
      </c>
      <c r="C39" s="8">
        <v>-0.26500000000000001</v>
      </c>
      <c r="D39" s="5">
        <v>-3.5000000000000003E-2</v>
      </c>
      <c r="E39" s="5">
        <v>-6.0999999999999999E-2</v>
      </c>
      <c r="F39" s="5">
        <v>-0.47499999999999998</v>
      </c>
      <c r="G39" s="8">
        <v>-0.22900000000000001</v>
      </c>
      <c r="H39" s="5">
        <v>-0.16700000000000001</v>
      </c>
      <c r="I39" s="5">
        <v>0.51700000000000002</v>
      </c>
      <c r="J39" s="5">
        <v>0.23499999999999999</v>
      </c>
      <c r="K39" s="8">
        <v>1.0999999999999999E-2</v>
      </c>
      <c r="L39" s="5">
        <v>8.7999999999999995E-2</v>
      </c>
      <c r="M39" s="5">
        <v>-6.0000000000000001E-3</v>
      </c>
      <c r="N39" s="5">
        <v>0.13200000000000001</v>
      </c>
      <c r="O39" s="8">
        <v>-7.2999999999999995E-2</v>
      </c>
      <c r="P39" s="5">
        <v>-6.4000000000000001E-2</v>
      </c>
      <c r="Q39" s="5">
        <v>5.8000000000000003E-2</v>
      </c>
      <c r="R39" s="5">
        <v>0</v>
      </c>
    </row>
    <row r="40" spans="2:18" x14ac:dyDescent="0.45">
      <c r="B40" s="49" t="s">
        <v>44</v>
      </c>
      <c r="C40" s="71">
        <v>0</v>
      </c>
      <c r="D40" s="71">
        <v>0</v>
      </c>
      <c r="E40" s="71">
        <v>0</v>
      </c>
      <c r="F40" s="71" t="s">
        <v>33</v>
      </c>
      <c r="G40" s="72">
        <v>0</v>
      </c>
      <c r="H40" s="71">
        <v>0</v>
      </c>
      <c r="I40" s="71">
        <v>0</v>
      </c>
      <c r="J40" s="71">
        <v>-1</v>
      </c>
      <c r="K40" s="72" t="s">
        <v>33</v>
      </c>
      <c r="L40" s="71" t="s">
        <v>33</v>
      </c>
      <c r="M40" s="71" t="s">
        <v>33</v>
      </c>
      <c r="N40" s="71" t="s">
        <v>33</v>
      </c>
      <c r="O40" s="72" t="s">
        <v>33</v>
      </c>
      <c r="P40" s="71" t="s">
        <v>33</v>
      </c>
      <c r="Q40" s="71" t="s">
        <v>33</v>
      </c>
      <c r="R40" s="73"/>
    </row>
    <row r="41" spans="2:18" x14ac:dyDescent="0.45">
      <c r="B41" s="18" t="s">
        <v>11</v>
      </c>
      <c r="C41" s="9"/>
      <c r="G41" s="9"/>
      <c r="K41" s="9"/>
      <c r="O41" s="9"/>
    </row>
    <row r="42" spans="2:18" x14ac:dyDescent="0.45">
      <c r="B42" s="19" t="s">
        <v>4</v>
      </c>
      <c r="C42" s="7">
        <v>397</v>
      </c>
      <c r="D42" s="2">
        <v>482</v>
      </c>
      <c r="E42" s="2">
        <v>404</v>
      </c>
      <c r="F42" s="2">
        <v>466</v>
      </c>
      <c r="G42" s="7">
        <v>392</v>
      </c>
      <c r="H42" s="2">
        <v>457</v>
      </c>
      <c r="I42" s="2">
        <v>475</v>
      </c>
      <c r="J42" s="2">
        <v>469</v>
      </c>
      <c r="K42" s="7">
        <v>375</v>
      </c>
      <c r="L42" s="2">
        <v>481</v>
      </c>
      <c r="M42" s="2">
        <v>424</v>
      </c>
      <c r="N42" s="2">
        <v>495</v>
      </c>
      <c r="O42" s="7">
        <v>383</v>
      </c>
      <c r="P42" s="2">
        <v>430</v>
      </c>
      <c r="Q42" s="2">
        <v>455</v>
      </c>
      <c r="R42" s="2">
        <v>432</v>
      </c>
    </row>
    <row r="43" spans="2:18" x14ac:dyDescent="0.45">
      <c r="B43" s="19" t="s">
        <v>6</v>
      </c>
      <c r="C43" s="7">
        <v>44</v>
      </c>
      <c r="D43" s="2">
        <v>56</v>
      </c>
      <c r="E43" s="2">
        <v>34</v>
      </c>
      <c r="F43" s="2">
        <v>23</v>
      </c>
      <c r="G43" s="7">
        <v>20</v>
      </c>
      <c r="H43" s="2">
        <v>29</v>
      </c>
      <c r="I43" s="2">
        <v>52</v>
      </c>
      <c r="J43" s="2">
        <v>27</v>
      </c>
      <c r="K43" s="7">
        <v>3</v>
      </c>
      <c r="L43" s="2">
        <v>39</v>
      </c>
      <c r="M43" s="2">
        <v>31</v>
      </c>
      <c r="N43" s="2">
        <v>14</v>
      </c>
      <c r="O43" s="7">
        <v>9</v>
      </c>
      <c r="P43" s="2">
        <v>30</v>
      </c>
      <c r="Q43" s="2">
        <v>37</v>
      </c>
      <c r="R43" s="2">
        <v>24</v>
      </c>
    </row>
    <row r="44" spans="2:18" x14ac:dyDescent="0.45">
      <c r="B44" s="20" t="s">
        <v>7</v>
      </c>
      <c r="C44" s="8">
        <v>0.113</v>
      </c>
      <c r="D44" s="5">
        <v>0.11700000000000001</v>
      </c>
      <c r="E44" s="5">
        <v>8.5000000000000006E-2</v>
      </c>
      <c r="F44" s="5">
        <v>0.05</v>
      </c>
      <c r="G44" s="8">
        <v>5.1999999999999998E-2</v>
      </c>
      <c r="H44" s="5">
        <v>6.4000000000000001E-2</v>
      </c>
      <c r="I44" s="5">
        <v>0.11</v>
      </c>
      <c r="J44" s="5">
        <v>5.8999999999999997E-2</v>
      </c>
      <c r="K44" s="8">
        <v>8.9999999999999993E-3</v>
      </c>
      <c r="L44" s="5">
        <v>8.2000000000000003E-2</v>
      </c>
      <c r="M44" s="5">
        <v>7.3999999999999996E-2</v>
      </c>
      <c r="N44" s="5">
        <v>2.9000000000000001E-2</v>
      </c>
      <c r="O44" s="8">
        <v>2.5000000000000001E-2</v>
      </c>
      <c r="P44" s="5">
        <v>7.0999999999999994E-2</v>
      </c>
      <c r="Q44" s="5">
        <v>8.2000000000000003E-2</v>
      </c>
      <c r="R44" s="5">
        <v>5.6000000000000001E-2</v>
      </c>
    </row>
    <row r="46" spans="2:18" x14ac:dyDescent="0.45">
      <c r="B46" s="70" t="s">
        <v>46</v>
      </c>
    </row>
    <row r="47" spans="2:18" x14ac:dyDescent="0.45">
      <c r="B47" s="70" t="s">
        <v>106</v>
      </c>
    </row>
    <row r="48" spans="2:18" x14ac:dyDescent="0.45">
      <c r="B48" s="70" t="s">
        <v>113</v>
      </c>
    </row>
  </sheetData>
  <mergeCells count="4">
    <mergeCell ref="C3:F3"/>
    <mergeCell ref="G3:J3"/>
    <mergeCell ref="K3:N3"/>
    <mergeCell ref="O3:R3"/>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4C5E1-C564-4738-87B1-5E9B17AE4A2E}">
  <dimension ref="A1:Y56"/>
  <sheetViews>
    <sheetView showGridLines="0" topLeftCell="A28" zoomScale="85" zoomScaleNormal="85" workbookViewId="0">
      <pane xSplit="2" topLeftCell="C1" activePane="topRight" state="frozen"/>
      <selection pane="topRight" activeCell="C57" sqref="C57"/>
    </sheetView>
  </sheetViews>
  <sheetFormatPr defaultRowHeight="18" x14ac:dyDescent="0.45"/>
  <cols>
    <col min="1" max="1" width="4" customWidth="1"/>
    <col min="2" max="2" width="25.3984375" bestFit="1" customWidth="1"/>
    <col min="3" max="3" width="16.796875" customWidth="1"/>
    <col min="4" max="4" width="13.09765625" bestFit="1" customWidth="1"/>
    <col min="5" max="5" width="17.69921875" bestFit="1" customWidth="1"/>
    <col min="6" max="6" width="15.59765625" customWidth="1"/>
    <col min="7" max="7" width="13.8984375" bestFit="1" customWidth="1"/>
    <col min="8" max="8" width="9.5" customWidth="1"/>
    <col min="9" max="9" width="11" customWidth="1"/>
    <col min="10" max="10" width="15.296875" customWidth="1"/>
    <col min="11" max="11" width="16" customWidth="1"/>
    <col min="12" max="12" width="13.8984375" bestFit="1" customWidth="1"/>
    <col min="13" max="25" width="9.3984375" customWidth="1"/>
  </cols>
  <sheetData>
    <row r="1" spans="1:25" x14ac:dyDescent="0.45">
      <c r="A1" t="s">
        <v>31</v>
      </c>
    </row>
    <row r="3" spans="1:25" x14ac:dyDescent="0.45">
      <c r="V3" s="94"/>
      <c r="W3" s="94"/>
      <c r="X3" s="94"/>
      <c r="Y3" s="94"/>
    </row>
    <row r="4" spans="1:25" x14ac:dyDescent="0.45">
      <c r="B4" s="44" t="s">
        <v>2</v>
      </c>
      <c r="C4" s="22">
        <v>2000</v>
      </c>
      <c r="D4" s="22">
        <v>2001</v>
      </c>
      <c r="E4" s="22">
        <v>2002</v>
      </c>
      <c r="F4" s="22">
        <v>2003</v>
      </c>
      <c r="G4" s="22">
        <v>2004</v>
      </c>
      <c r="H4" s="22">
        <v>2005</v>
      </c>
      <c r="I4" s="22">
        <v>2006</v>
      </c>
      <c r="J4" s="22">
        <v>2007</v>
      </c>
      <c r="K4" s="22">
        <v>2008</v>
      </c>
      <c r="L4" s="22">
        <v>2009</v>
      </c>
      <c r="M4" s="22">
        <v>2010</v>
      </c>
      <c r="N4" s="22">
        <v>2011</v>
      </c>
      <c r="O4" s="22">
        <v>2012</v>
      </c>
      <c r="P4" s="22">
        <v>2013</v>
      </c>
      <c r="Q4" s="22">
        <v>2014</v>
      </c>
      <c r="R4" s="22">
        <v>2015</v>
      </c>
      <c r="S4" s="22">
        <v>2016</v>
      </c>
      <c r="T4" s="22">
        <v>2017</v>
      </c>
      <c r="U4" s="22">
        <v>2018</v>
      </c>
      <c r="V4" s="22">
        <v>2019</v>
      </c>
      <c r="W4" s="22">
        <v>2020</v>
      </c>
      <c r="X4" s="22">
        <v>2021</v>
      </c>
      <c r="Y4" s="22">
        <v>2022</v>
      </c>
    </row>
    <row r="5" spans="1:25" x14ac:dyDescent="0.45">
      <c r="B5" s="44" t="s">
        <v>70</v>
      </c>
      <c r="C5" s="25" t="s">
        <v>71</v>
      </c>
      <c r="D5" s="25" t="s">
        <v>72</v>
      </c>
      <c r="E5" s="25" t="s">
        <v>73</v>
      </c>
      <c r="F5" s="25" t="s">
        <v>74</v>
      </c>
      <c r="G5" s="25" t="s">
        <v>75</v>
      </c>
      <c r="H5" s="25" t="s">
        <v>76</v>
      </c>
      <c r="I5" s="25" t="s">
        <v>76</v>
      </c>
      <c r="J5" s="25" t="s">
        <v>77</v>
      </c>
      <c r="K5" s="25" t="s">
        <v>77</v>
      </c>
      <c r="L5" s="25" t="s">
        <v>78</v>
      </c>
      <c r="M5" s="25"/>
      <c r="N5" s="25"/>
      <c r="O5" s="25"/>
      <c r="P5" s="25"/>
      <c r="Q5" s="25"/>
      <c r="R5" s="25"/>
      <c r="S5" s="25"/>
      <c r="T5" s="25"/>
      <c r="U5" s="25"/>
      <c r="V5" s="25"/>
      <c r="W5" s="25"/>
      <c r="X5" s="25"/>
      <c r="Y5" s="25"/>
    </row>
    <row r="6" spans="1:25" x14ac:dyDescent="0.45">
      <c r="B6" s="23" t="s">
        <v>50</v>
      </c>
      <c r="C6" s="3"/>
      <c r="D6" s="3"/>
      <c r="E6" s="3"/>
      <c r="F6" s="3"/>
      <c r="G6" s="3"/>
      <c r="H6" s="3"/>
      <c r="I6" s="3"/>
      <c r="J6" s="3"/>
      <c r="K6" s="3"/>
      <c r="L6" s="3"/>
      <c r="M6" s="3"/>
      <c r="N6" s="3"/>
      <c r="O6" s="3"/>
      <c r="P6" s="3"/>
      <c r="Q6" s="3"/>
      <c r="R6" s="3"/>
      <c r="S6" s="3"/>
      <c r="T6" s="3"/>
      <c r="U6" s="3"/>
      <c r="V6" s="3"/>
      <c r="W6" s="4"/>
      <c r="X6" s="4"/>
      <c r="Y6" s="4"/>
    </row>
    <row r="7" spans="1:25" x14ac:dyDescent="0.45">
      <c r="B7" s="19" t="s">
        <v>4</v>
      </c>
      <c r="C7" s="39" t="s">
        <v>42</v>
      </c>
      <c r="D7" s="39" t="s">
        <v>42</v>
      </c>
      <c r="E7" s="2">
        <v>548</v>
      </c>
      <c r="F7" s="2">
        <v>563</v>
      </c>
      <c r="G7" s="2">
        <v>665</v>
      </c>
      <c r="H7" s="2">
        <v>683</v>
      </c>
      <c r="I7" s="2">
        <v>718</v>
      </c>
      <c r="J7" s="2">
        <v>758</v>
      </c>
      <c r="K7" s="2">
        <v>590</v>
      </c>
      <c r="L7" s="2">
        <v>530</v>
      </c>
      <c r="M7" s="2">
        <v>573</v>
      </c>
      <c r="N7" s="2">
        <v>524</v>
      </c>
      <c r="O7" s="2">
        <v>543</v>
      </c>
      <c r="P7" s="2">
        <v>635</v>
      </c>
      <c r="Q7" s="2">
        <v>719</v>
      </c>
      <c r="R7" s="2">
        <v>772</v>
      </c>
      <c r="S7" s="2">
        <v>719</v>
      </c>
      <c r="T7" s="2">
        <v>724</v>
      </c>
      <c r="U7" s="2">
        <v>671</v>
      </c>
      <c r="V7" s="2">
        <v>585</v>
      </c>
      <c r="W7" s="2">
        <v>457</v>
      </c>
      <c r="X7" s="2">
        <v>578</v>
      </c>
      <c r="Y7" s="2">
        <v>618</v>
      </c>
    </row>
    <row r="8" spans="1:25" x14ac:dyDescent="0.45">
      <c r="B8" s="19" t="s">
        <v>6</v>
      </c>
      <c r="C8" s="39" t="s">
        <v>39</v>
      </c>
      <c r="D8" s="39" t="s">
        <v>39</v>
      </c>
      <c r="E8" s="39" t="s">
        <v>39</v>
      </c>
      <c r="F8" s="39" t="s">
        <v>39</v>
      </c>
      <c r="G8" s="39" t="s">
        <v>39</v>
      </c>
      <c r="H8" s="39" t="s">
        <v>39</v>
      </c>
      <c r="I8" s="39" t="s">
        <v>39</v>
      </c>
      <c r="J8" s="39" t="s">
        <v>39</v>
      </c>
      <c r="K8" s="39" t="s">
        <v>39</v>
      </c>
      <c r="L8" s="39">
        <v>39</v>
      </c>
      <c r="M8" s="2">
        <v>84</v>
      </c>
      <c r="N8" s="2">
        <v>76</v>
      </c>
      <c r="O8" s="2">
        <v>61</v>
      </c>
      <c r="P8" s="2">
        <v>93</v>
      </c>
      <c r="Q8" s="2">
        <v>100</v>
      </c>
      <c r="R8" s="2">
        <v>109</v>
      </c>
      <c r="S8" s="2">
        <v>81</v>
      </c>
      <c r="T8" s="2">
        <v>104</v>
      </c>
      <c r="U8" s="2">
        <v>83</v>
      </c>
      <c r="V8" s="2">
        <v>60</v>
      </c>
      <c r="W8" s="2">
        <v>32</v>
      </c>
      <c r="X8" s="2">
        <v>82</v>
      </c>
      <c r="Y8" s="2">
        <v>90</v>
      </c>
    </row>
    <row r="9" spans="1:25" x14ac:dyDescent="0.45">
      <c r="B9" s="32" t="s">
        <v>7</v>
      </c>
      <c r="C9" s="43" t="s">
        <v>39</v>
      </c>
      <c r="D9" s="43" t="s">
        <v>39</v>
      </c>
      <c r="E9" s="43" t="s">
        <v>39</v>
      </c>
      <c r="F9" s="43" t="s">
        <v>39</v>
      </c>
      <c r="G9" s="43" t="s">
        <v>39</v>
      </c>
      <c r="H9" s="43" t="s">
        <v>39</v>
      </c>
      <c r="I9" s="43" t="s">
        <v>39</v>
      </c>
      <c r="J9" s="43" t="s">
        <v>39</v>
      </c>
      <c r="K9" s="43" t="s">
        <v>39</v>
      </c>
      <c r="L9" s="43">
        <v>7.4999999999999997E-2</v>
      </c>
      <c r="M9" s="15">
        <v>0.14599999999999999</v>
      </c>
      <c r="N9" s="15">
        <v>0.14699999999999999</v>
      </c>
      <c r="O9" s="15">
        <v>0.114</v>
      </c>
      <c r="P9" s="15">
        <v>0.14799999999999999</v>
      </c>
      <c r="Q9" s="15">
        <v>0.14000000000000001</v>
      </c>
      <c r="R9" s="15">
        <v>0.14199999999999999</v>
      </c>
      <c r="S9" s="15">
        <v>0.113</v>
      </c>
      <c r="T9" s="15">
        <v>0.14399999999999999</v>
      </c>
      <c r="U9" s="15">
        <v>0.125</v>
      </c>
      <c r="V9" s="15">
        <v>0.10299999999999999</v>
      </c>
      <c r="W9" s="15">
        <v>7.0999999999999994E-2</v>
      </c>
      <c r="X9" s="15">
        <v>0.14299999999999999</v>
      </c>
      <c r="Y9" s="15">
        <v>0.14599999999999999</v>
      </c>
    </row>
    <row r="10" spans="1:25" x14ac:dyDescent="0.45">
      <c r="B10" s="28" t="s">
        <v>12</v>
      </c>
      <c r="C10" s="39"/>
      <c r="D10" s="39"/>
      <c r="E10" s="2"/>
      <c r="F10" s="2"/>
      <c r="G10" s="2"/>
      <c r="H10" s="2"/>
      <c r="I10" s="2"/>
      <c r="J10" s="2"/>
      <c r="K10" s="2"/>
      <c r="L10" s="2"/>
      <c r="M10" s="2"/>
      <c r="N10" s="2"/>
      <c r="O10" s="2"/>
      <c r="P10" s="2"/>
      <c r="Q10" s="2"/>
      <c r="R10" s="2"/>
      <c r="S10" s="2"/>
      <c r="T10" s="2"/>
      <c r="U10" s="2"/>
      <c r="V10" s="2"/>
      <c r="W10" s="2"/>
      <c r="X10" s="2"/>
      <c r="Y10" s="2"/>
    </row>
    <row r="11" spans="1:25" x14ac:dyDescent="0.45">
      <c r="B11" s="33" t="s">
        <v>54</v>
      </c>
      <c r="C11" s="39" t="s">
        <v>42</v>
      </c>
      <c r="D11" s="39" t="s">
        <v>42</v>
      </c>
      <c r="E11" s="2">
        <v>384</v>
      </c>
      <c r="F11" s="2">
        <v>405</v>
      </c>
      <c r="G11" s="2">
        <v>495</v>
      </c>
      <c r="H11" s="2">
        <v>513</v>
      </c>
      <c r="I11" s="2">
        <v>537</v>
      </c>
      <c r="J11" s="2">
        <v>591</v>
      </c>
      <c r="K11" s="2">
        <v>454</v>
      </c>
      <c r="L11" s="2">
        <v>415</v>
      </c>
      <c r="M11" s="2">
        <v>446</v>
      </c>
      <c r="N11" s="2">
        <v>411</v>
      </c>
      <c r="O11" s="2">
        <v>425</v>
      </c>
      <c r="P11" s="2">
        <v>504</v>
      </c>
      <c r="Q11" s="2">
        <v>576</v>
      </c>
      <c r="R11" s="2">
        <v>634</v>
      </c>
      <c r="S11" s="2">
        <v>597</v>
      </c>
      <c r="T11" s="2">
        <v>599</v>
      </c>
      <c r="U11" s="2">
        <v>558</v>
      </c>
      <c r="V11" s="2">
        <v>401</v>
      </c>
      <c r="W11" s="2">
        <v>304</v>
      </c>
      <c r="X11" s="2">
        <v>383</v>
      </c>
      <c r="Y11" s="2">
        <v>387</v>
      </c>
    </row>
    <row r="12" spans="1:25" x14ac:dyDescent="0.45">
      <c r="B12" s="33" t="s">
        <v>55</v>
      </c>
      <c r="C12" s="39" t="s">
        <v>42</v>
      </c>
      <c r="D12" s="39" t="s">
        <v>42</v>
      </c>
      <c r="E12" s="2">
        <v>164</v>
      </c>
      <c r="F12" s="2">
        <v>158</v>
      </c>
      <c r="G12" s="2">
        <v>170</v>
      </c>
      <c r="H12" s="2">
        <v>170</v>
      </c>
      <c r="I12" s="2">
        <v>181</v>
      </c>
      <c r="J12" s="2">
        <v>167</v>
      </c>
      <c r="K12" s="2">
        <v>136</v>
      </c>
      <c r="L12" s="2">
        <v>114</v>
      </c>
      <c r="M12" s="2">
        <v>128</v>
      </c>
      <c r="N12" s="2">
        <v>112</v>
      </c>
      <c r="O12" s="2">
        <v>117</v>
      </c>
      <c r="P12" s="2">
        <v>131</v>
      </c>
      <c r="Q12" s="2">
        <v>142</v>
      </c>
      <c r="R12" s="2">
        <v>137</v>
      </c>
      <c r="S12" s="2">
        <v>121</v>
      </c>
      <c r="T12" s="2">
        <v>124</v>
      </c>
      <c r="U12" s="2">
        <v>113</v>
      </c>
      <c r="V12" s="2">
        <v>106</v>
      </c>
      <c r="W12" s="2">
        <v>88</v>
      </c>
      <c r="X12" s="2">
        <v>104</v>
      </c>
      <c r="Y12" s="2">
        <v>129</v>
      </c>
    </row>
    <row r="13" spans="1:25" x14ac:dyDescent="0.45">
      <c r="B13" s="33" t="s">
        <v>62</v>
      </c>
      <c r="C13" s="39" t="s">
        <v>42</v>
      </c>
      <c r="D13" s="39" t="s">
        <v>42</v>
      </c>
      <c r="E13" s="39" t="s">
        <v>39</v>
      </c>
      <c r="F13" s="39" t="s">
        <v>39</v>
      </c>
      <c r="G13" s="39" t="s">
        <v>39</v>
      </c>
      <c r="H13" s="39" t="s">
        <v>39</v>
      </c>
      <c r="I13" s="39" t="s">
        <v>39</v>
      </c>
      <c r="J13" s="39" t="s">
        <v>39</v>
      </c>
      <c r="K13" s="39" t="s">
        <v>39</v>
      </c>
      <c r="L13" s="39" t="s">
        <v>39</v>
      </c>
      <c r="M13" s="39" t="s">
        <v>39</v>
      </c>
      <c r="N13" s="39" t="s">
        <v>39</v>
      </c>
      <c r="O13" s="39" t="s">
        <v>39</v>
      </c>
      <c r="P13" s="39" t="s">
        <v>39</v>
      </c>
      <c r="Q13" s="39" t="s">
        <v>39</v>
      </c>
      <c r="R13" s="39" t="s">
        <v>39</v>
      </c>
      <c r="S13" s="39" t="s">
        <v>39</v>
      </c>
      <c r="T13" s="39" t="s">
        <v>39</v>
      </c>
      <c r="U13" s="39" t="s">
        <v>39</v>
      </c>
      <c r="V13" s="2">
        <v>78</v>
      </c>
      <c r="W13" s="2">
        <v>64</v>
      </c>
      <c r="X13" s="2">
        <v>90</v>
      </c>
      <c r="Y13" s="2">
        <v>100</v>
      </c>
    </row>
    <row r="14" spans="1:25" x14ac:dyDescent="0.45">
      <c r="B14" s="23" t="s">
        <v>40</v>
      </c>
      <c r="C14" s="46"/>
      <c r="D14" s="46"/>
      <c r="E14" s="4"/>
      <c r="F14" s="4"/>
      <c r="G14" s="4"/>
      <c r="H14" s="4"/>
      <c r="I14" s="4"/>
      <c r="J14" s="4"/>
      <c r="K14" s="4"/>
      <c r="L14" s="4"/>
      <c r="M14" s="4"/>
      <c r="N14" s="4"/>
      <c r="O14" s="4"/>
      <c r="P14" s="4"/>
      <c r="Q14" s="4"/>
      <c r="R14" s="4"/>
      <c r="S14" s="4"/>
      <c r="T14" s="4"/>
      <c r="U14" s="4"/>
      <c r="V14" s="4"/>
      <c r="W14" s="4"/>
      <c r="X14" s="4"/>
      <c r="Y14" s="4"/>
    </row>
    <row r="15" spans="1:25" x14ac:dyDescent="0.45">
      <c r="B15" s="19" t="s">
        <v>4</v>
      </c>
      <c r="C15" s="39" t="s">
        <v>42</v>
      </c>
      <c r="D15" s="39" t="s">
        <v>42</v>
      </c>
      <c r="E15" s="2">
        <v>334</v>
      </c>
      <c r="F15" s="2">
        <v>390</v>
      </c>
      <c r="G15" s="2">
        <v>492</v>
      </c>
      <c r="H15" s="2">
        <v>570</v>
      </c>
      <c r="I15" s="2">
        <v>746</v>
      </c>
      <c r="J15" s="2">
        <v>682</v>
      </c>
      <c r="K15" s="2">
        <v>582</v>
      </c>
      <c r="L15" s="2">
        <v>634</v>
      </c>
      <c r="M15" s="2">
        <v>846</v>
      </c>
      <c r="N15" s="2">
        <v>943</v>
      </c>
      <c r="O15" s="2">
        <v>858</v>
      </c>
      <c r="P15" s="2">
        <v>911</v>
      </c>
      <c r="Q15" s="2">
        <v>840</v>
      </c>
      <c r="R15" s="2">
        <v>987</v>
      </c>
      <c r="S15" s="2">
        <v>976</v>
      </c>
      <c r="T15" s="2">
        <v>976</v>
      </c>
      <c r="U15" s="2">
        <v>946</v>
      </c>
      <c r="V15" s="39" t="s">
        <v>39</v>
      </c>
      <c r="W15" s="39" t="s">
        <v>39</v>
      </c>
      <c r="X15" s="39" t="s">
        <v>39</v>
      </c>
      <c r="Y15" s="39" t="s">
        <v>39</v>
      </c>
    </row>
    <row r="16" spans="1:25" x14ac:dyDescent="0.45">
      <c r="B16" s="19" t="s">
        <v>6</v>
      </c>
      <c r="C16" s="39" t="s">
        <v>42</v>
      </c>
      <c r="D16" s="39" t="s">
        <v>42</v>
      </c>
      <c r="E16" s="39" t="s">
        <v>39</v>
      </c>
      <c r="F16" s="39" t="s">
        <v>39</v>
      </c>
      <c r="G16" s="39" t="s">
        <v>39</v>
      </c>
      <c r="H16" s="39" t="s">
        <v>39</v>
      </c>
      <c r="I16" s="39" t="s">
        <v>39</v>
      </c>
      <c r="J16" s="39" t="s">
        <v>39</v>
      </c>
      <c r="K16" s="39" t="s">
        <v>39</v>
      </c>
      <c r="L16" s="39">
        <v>30</v>
      </c>
      <c r="M16" s="2">
        <v>54</v>
      </c>
      <c r="N16" s="2">
        <v>27</v>
      </c>
      <c r="O16" s="2">
        <v>11</v>
      </c>
      <c r="P16" s="2">
        <v>25</v>
      </c>
      <c r="Q16" s="57">
        <f>0</f>
        <v>0</v>
      </c>
      <c r="R16" s="2">
        <v>17</v>
      </c>
      <c r="S16" s="2">
        <v>0</v>
      </c>
      <c r="T16" s="2">
        <v>-5</v>
      </c>
      <c r="U16" s="2">
        <v>-3</v>
      </c>
      <c r="V16" s="39" t="s">
        <v>39</v>
      </c>
      <c r="W16" s="39" t="s">
        <v>39</v>
      </c>
      <c r="X16" s="39" t="s">
        <v>39</v>
      </c>
      <c r="Y16" s="39" t="s">
        <v>39</v>
      </c>
    </row>
    <row r="17" spans="2:25" x14ac:dyDescent="0.45">
      <c r="B17" s="32" t="s">
        <v>7</v>
      </c>
      <c r="C17" s="43" t="s">
        <v>42</v>
      </c>
      <c r="D17" s="43" t="s">
        <v>42</v>
      </c>
      <c r="E17" s="43" t="s">
        <v>39</v>
      </c>
      <c r="F17" s="43" t="s">
        <v>39</v>
      </c>
      <c r="G17" s="43" t="s">
        <v>39</v>
      </c>
      <c r="H17" s="43" t="s">
        <v>39</v>
      </c>
      <c r="I17" s="43" t="s">
        <v>39</v>
      </c>
      <c r="J17" s="43" t="s">
        <v>39</v>
      </c>
      <c r="K17" s="43" t="s">
        <v>39</v>
      </c>
      <c r="L17" s="43">
        <v>4.8000000000000001E-2</v>
      </c>
      <c r="M17" s="36">
        <v>6.4000000000000001E-2</v>
      </c>
      <c r="N17" s="36">
        <v>0.03</v>
      </c>
      <c r="O17" s="36">
        <v>1.2999999999999999E-2</v>
      </c>
      <c r="P17" s="36">
        <v>2.8000000000000001E-2</v>
      </c>
      <c r="Q17" s="43" t="s">
        <v>41</v>
      </c>
      <c r="R17" s="36">
        <v>1.7000000000000001E-2</v>
      </c>
      <c r="S17" s="36">
        <v>1E-3</v>
      </c>
      <c r="T17" s="36">
        <v>-5.0000000000000001E-3</v>
      </c>
      <c r="U17" s="36">
        <v>-3.0000000000000001E-3</v>
      </c>
      <c r="V17" s="43" t="s">
        <v>39</v>
      </c>
      <c r="W17" s="43" t="s">
        <v>39</v>
      </c>
      <c r="X17" s="43" t="s">
        <v>39</v>
      </c>
      <c r="Y17" s="43" t="s">
        <v>39</v>
      </c>
    </row>
    <row r="18" spans="2:25" x14ac:dyDescent="0.45">
      <c r="B18" s="28" t="s">
        <v>12</v>
      </c>
      <c r="C18" s="39"/>
      <c r="D18" s="39"/>
      <c r="E18" s="2"/>
      <c r="F18" s="2"/>
      <c r="G18" s="2"/>
      <c r="H18" s="2"/>
      <c r="I18" s="2"/>
      <c r="J18" s="2"/>
      <c r="K18" s="2"/>
      <c r="L18" s="2"/>
      <c r="M18" s="2"/>
      <c r="N18" s="2"/>
      <c r="O18" s="2"/>
      <c r="P18" s="2"/>
      <c r="Q18" s="2"/>
      <c r="R18" s="2"/>
      <c r="S18" s="2"/>
      <c r="T18" s="2"/>
      <c r="U18" s="2"/>
      <c r="V18" s="2"/>
      <c r="W18" s="2"/>
      <c r="X18" s="2"/>
      <c r="Y18" s="2"/>
    </row>
    <row r="19" spans="2:25" x14ac:dyDescent="0.45">
      <c r="B19" s="37" t="s">
        <v>36</v>
      </c>
      <c r="C19" s="39" t="s">
        <v>42</v>
      </c>
      <c r="D19" s="39" t="s">
        <v>42</v>
      </c>
      <c r="E19" s="2">
        <v>146</v>
      </c>
      <c r="F19" s="2">
        <v>189</v>
      </c>
      <c r="G19" s="2">
        <v>262</v>
      </c>
      <c r="H19" s="2">
        <v>248</v>
      </c>
      <c r="I19" s="2">
        <v>271</v>
      </c>
      <c r="J19" s="2">
        <v>217</v>
      </c>
      <c r="K19" s="2">
        <v>206</v>
      </c>
      <c r="L19" s="2">
        <v>177</v>
      </c>
      <c r="M19" s="2">
        <v>261</v>
      </c>
      <c r="N19" s="2">
        <v>273</v>
      </c>
      <c r="O19" s="2">
        <v>267</v>
      </c>
      <c r="P19" s="2">
        <v>255</v>
      </c>
      <c r="Q19" s="2">
        <v>212</v>
      </c>
      <c r="R19" s="2">
        <v>259</v>
      </c>
      <c r="S19" s="2">
        <v>285</v>
      </c>
      <c r="T19" s="2">
        <v>330</v>
      </c>
      <c r="U19" s="2">
        <v>353</v>
      </c>
      <c r="V19" s="39" t="s">
        <v>39</v>
      </c>
      <c r="W19" s="39" t="s">
        <v>39</v>
      </c>
      <c r="X19" s="39" t="s">
        <v>39</v>
      </c>
      <c r="Y19" s="39" t="s">
        <v>39</v>
      </c>
    </row>
    <row r="20" spans="2:25" x14ac:dyDescent="0.45">
      <c r="B20" s="37" t="s">
        <v>37</v>
      </c>
      <c r="C20" s="39" t="s">
        <v>42</v>
      </c>
      <c r="D20" s="39" t="s">
        <v>42</v>
      </c>
      <c r="E20" s="2">
        <v>169</v>
      </c>
      <c r="F20" s="2">
        <v>183</v>
      </c>
      <c r="G20" s="2">
        <v>211</v>
      </c>
      <c r="H20" s="2">
        <v>306</v>
      </c>
      <c r="I20" s="2">
        <v>459</v>
      </c>
      <c r="J20" s="2">
        <v>448</v>
      </c>
      <c r="K20" s="2">
        <v>360</v>
      </c>
      <c r="L20" s="2">
        <v>442</v>
      </c>
      <c r="M20" s="2">
        <v>575</v>
      </c>
      <c r="N20" s="2">
        <v>657</v>
      </c>
      <c r="O20" s="2">
        <v>577</v>
      </c>
      <c r="P20" s="2">
        <v>639</v>
      </c>
      <c r="Q20" s="2">
        <v>603</v>
      </c>
      <c r="R20" s="2">
        <v>703</v>
      </c>
      <c r="S20" s="2">
        <v>670</v>
      </c>
      <c r="T20" s="2">
        <v>627</v>
      </c>
      <c r="U20" s="2">
        <v>569</v>
      </c>
      <c r="V20" s="39" t="s">
        <v>39</v>
      </c>
      <c r="W20" s="39" t="s">
        <v>39</v>
      </c>
      <c r="X20" s="39" t="s">
        <v>39</v>
      </c>
      <c r="Y20" s="39" t="s">
        <v>39</v>
      </c>
    </row>
    <row r="21" spans="2:25" x14ac:dyDescent="0.45">
      <c r="B21" s="38" t="s">
        <v>38</v>
      </c>
      <c r="C21" s="41" t="s">
        <v>42</v>
      </c>
      <c r="D21" s="41" t="s">
        <v>42</v>
      </c>
      <c r="E21" s="40">
        <v>19</v>
      </c>
      <c r="F21" s="40">
        <v>18</v>
      </c>
      <c r="G21" s="40">
        <v>19</v>
      </c>
      <c r="H21" s="40">
        <v>16</v>
      </c>
      <c r="I21" s="40">
        <v>15</v>
      </c>
      <c r="J21" s="40">
        <v>17</v>
      </c>
      <c r="K21" s="40">
        <v>14</v>
      </c>
      <c r="L21" s="40">
        <v>13</v>
      </c>
      <c r="M21" s="40">
        <v>11</v>
      </c>
      <c r="N21" s="40">
        <v>12</v>
      </c>
      <c r="O21" s="40">
        <v>13</v>
      </c>
      <c r="P21" s="40">
        <v>16</v>
      </c>
      <c r="Q21" s="40">
        <v>23</v>
      </c>
      <c r="R21" s="40">
        <v>24</v>
      </c>
      <c r="S21" s="40">
        <v>20</v>
      </c>
      <c r="T21" s="40">
        <v>17</v>
      </c>
      <c r="U21" s="40">
        <v>23</v>
      </c>
      <c r="V21" s="41" t="s">
        <v>39</v>
      </c>
      <c r="W21" s="41" t="s">
        <v>39</v>
      </c>
      <c r="X21" s="41" t="s">
        <v>39</v>
      </c>
      <c r="Y21" s="41" t="s">
        <v>39</v>
      </c>
    </row>
    <row r="22" spans="2:25" x14ac:dyDescent="0.45">
      <c r="B22" s="23" t="s">
        <v>32</v>
      </c>
      <c r="C22" s="46"/>
      <c r="D22" s="46"/>
      <c r="E22" s="4"/>
      <c r="F22" s="4"/>
      <c r="G22" s="4"/>
      <c r="H22" s="4"/>
      <c r="I22" s="4"/>
      <c r="J22" s="4"/>
      <c r="K22" s="4"/>
      <c r="L22" s="4"/>
      <c r="M22" s="4"/>
      <c r="N22" s="4"/>
      <c r="O22" s="4"/>
      <c r="P22" s="4"/>
      <c r="Q22" s="4"/>
      <c r="R22" s="4"/>
      <c r="S22" s="4"/>
      <c r="T22" s="4"/>
      <c r="U22" s="4"/>
      <c r="V22" s="4"/>
      <c r="W22" s="4"/>
      <c r="X22" s="4"/>
      <c r="Y22" s="4"/>
    </row>
    <row r="23" spans="2:25" x14ac:dyDescent="0.45">
      <c r="B23" s="19" t="s">
        <v>4</v>
      </c>
      <c r="C23" s="39" t="s">
        <v>42</v>
      </c>
      <c r="D23" s="39" t="s">
        <v>42</v>
      </c>
      <c r="E23" s="39" t="s">
        <v>39</v>
      </c>
      <c r="F23" s="39" t="s">
        <v>39</v>
      </c>
      <c r="G23" s="39" t="s">
        <v>39</v>
      </c>
      <c r="H23" s="39" t="s">
        <v>39</v>
      </c>
      <c r="I23" s="39" t="s">
        <v>39</v>
      </c>
      <c r="J23" s="39" t="s">
        <v>39</v>
      </c>
      <c r="K23" s="39" t="s">
        <v>39</v>
      </c>
      <c r="L23" s="39" t="s">
        <v>39</v>
      </c>
      <c r="M23" s="39" t="s">
        <v>39</v>
      </c>
      <c r="N23" s="39" t="s">
        <v>39</v>
      </c>
      <c r="O23" s="39" t="s">
        <v>39</v>
      </c>
      <c r="P23" s="39" t="s">
        <v>39</v>
      </c>
      <c r="Q23" s="39" t="s">
        <v>39</v>
      </c>
      <c r="R23" s="39" t="s">
        <v>39</v>
      </c>
      <c r="S23" s="39" t="s">
        <v>39</v>
      </c>
      <c r="T23" s="39" t="s">
        <v>39</v>
      </c>
      <c r="U23" s="39" t="s">
        <v>39</v>
      </c>
      <c r="V23" s="2">
        <v>361</v>
      </c>
      <c r="W23" s="2">
        <v>389</v>
      </c>
      <c r="X23" s="2">
        <v>483</v>
      </c>
      <c r="Y23" s="2">
        <v>577</v>
      </c>
    </row>
    <row r="24" spans="2:25" x14ac:dyDescent="0.45">
      <c r="B24" s="19" t="s">
        <v>6</v>
      </c>
      <c r="C24" s="39" t="s">
        <v>42</v>
      </c>
      <c r="D24" s="39" t="s">
        <v>42</v>
      </c>
      <c r="E24" s="39" t="s">
        <v>39</v>
      </c>
      <c r="F24" s="39" t="s">
        <v>39</v>
      </c>
      <c r="G24" s="39" t="s">
        <v>39</v>
      </c>
      <c r="H24" s="39" t="s">
        <v>39</v>
      </c>
      <c r="I24" s="39" t="s">
        <v>39</v>
      </c>
      <c r="J24" s="39" t="s">
        <v>39</v>
      </c>
      <c r="K24" s="39" t="s">
        <v>39</v>
      </c>
      <c r="L24" s="39" t="s">
        <v>39</v>
      </c>
      <c r="M24" s="39" t="s">
        <v>39</v>
      </c>
      <c r="N24" s="39" t="s">
        <v>39</v>
      </c>
      <c r="O24" s="39" t="s">
        <v>39</v>
      </c>
      <c r="P24" s="39" t="s">
        <v>39</v>
      </c>
      <c r="Q24" s="39" t="s">
        <v>39</v>
      </c>
      <c r="R24" s="39" t="s">
        <v>39</v>
      </c>
      <c r="S24" s="39" t="s">
        <v>39</v>
      </c>
      <c r="T24" s="39" t="s">
        <v>39</v>
      </c>
      <c r="U24" s="39" t="s">
        <v>39</v>
      </c>
      <c r="V24" s="2">
        <v>-5</v>
      </c>
      <c r="W24" s="2">
        <v>8</v>
      </c>
      <c r="X24" s="2">
        <v>46</v>
      </c>
      <c r="Y24" s="2">
        <v>71</v>
      </c>
    </row>
    <row r="25" spans="2:25" x14ac:dyDescent="0.45">
      <c r="B25" s="20" t="s">
        <v>7</v>
      </c>
      <c r="C25" s="47" t="s">
        <v>42</v>
      </c>
      <c r="D25" s="47" t="s">
        <v>42</v>
      </c>
      <c r="E25" s="41" t="s">
        <v>39</v>
      </c>
      <c r="F25" s="41" t="s">
        <v>39</v>
      </c>
      <c r="G25" s="41" t="s">
        <v>39</v>
      </c>
      <c r="H25" s="41" t="s">
        <v>39</v>
      </c>
      <c r="I25" s="41" t="s">
        <v>39</v>
      </c>
      <c r="J25" s="41" t="s">
        <v>39</v>
      </c>
      <c r="K25" s="41" t="s">
        <v>39</v>
      </c>
      <c r="L25" s="41" t="s">
        <v>39</v>
      </c>
      <c r="M25" s="41" t="s">
        <v>39</v>
      </c>
      <c r="N25" s="41" t="s">
        <v>39</v>
      </c>
      <c r="O25" s="41" t="s">
        <v>39</v>
      </c>
      <c r="P25" s="41" t="s">
        <v>39</v>
      </c>
      <c r="Q25" s="41" t="s">
        <v>39</v>
      </c>
      <c r="R25" s="41" t="s">
        <v>39</v>
      </c>
      <c r="S25" s="41" t="s">
        <v>39</v>
      </c>
      <c r="T25" s="41" t="s">
        <v>39</v>
      </c>
      <c r="U25" s="41" t="s">
        <v>39</v>
      </c>
      <c r="V25" s="42">
        <v>-1.6E-2</v>
      </c>
      <c r="W25" s="42">
        <v>2.1999999999999999E-2</v>
      </c>
      <c r="X25" s="42">
        <v>9.5000000000000001E-2</v>
      </c>
      <c r="Y25" s="42">
        <v>0.124</v>
      </c>
    </row>
    <row r="26" spans="2:25" x14ac:dyDescent="0.45">
      <c r="B26" s="18" t="s">
        <v>52</v>
      </c>
      <c r="C26" s="39" t="s">
        <v>42</v>
      </c>
      <c r="D26" s="39" t="s">
        <v>42</v>
      </c>
    </row>
    <row r="27" spans="2:25" x14ac:dyDescent="0.45">
      <c r="B27" s="19" t="s">
        <v>4</v>
      </c>
      <c r="C27" s="39" t="s">
        <v>42</v>
      </c>
      <c r="D27" s="39" t="s">
        <v>42</v>
      </c>
      <c r="E27" s="39" t="s">
        <v>39</v>
      </c>
      <c r="F27" s="39" t="s">
        <v>39</v>
      </c>
      <c r="G27" s="39" t="s">
        <v>39</v>
      </c>
      <c r="H27" s="39" t="s">
        <v>39</v>
      </c>
      <c r="I27" s="39" t="s">
        <v>39</v>
      </c>
      <c r="J27" s="39" t="s">
        <v>39</v>
      </c>
      <c r="K27" s="39" t="s">
        <v>39</v>
      </c>
      <c r="L27" s="39" t="s">
        <v>39</v>
      </c>
      <c r="M27" s="39" t="s">
        <v>39</v>
      </c>
      <c r="N27" s="39" t="s">
        <v>39</v>
      </c>
      <c r="O27" s="39" t="s">
        <v>39</v>
      </c>
      <c r="P27" s="39" t="s">
        <v>39</v>
      </c>
      <c r="Q27" s="39" t="s">
        <v>39</v>
      </c>
      <c r="R27" s="39" t="s">
        <v>39</v>
      </c>
      <c r="S27" s="39" t="s">
        <v>39</v>
      </c>
      <c r="T27" s="39" t="s">
        <v>39</v>
      </c>
      <c r="U27" s="39" t="s">
        <v>39</v>
      </c>
      <c r="V27" s="2">
        <v>608</v>
      </c>
      <c r="W27" s="2">
        <v>310</v>
      </c>
      <c r="X27" s="2">
        <v>391</v>
      </c>
      <c r="Y27" s="2">
        <v>513</v>
      </c>
    </row>
    <row r="28" spans="2:25" x14ac:dyDescent="0.45">
      <c r="B28" s="19" t="s">
        <v>6</v>
      </c>
      <c r="C28" s="39" t="s">
        <v>42</v>
      </c>
      <c r="D28" s="39" t="s">
        <v>42</v>
      </c>
      <c r="E28" s="39" t="s">
        <v>39</v>
      </c>
      <c r="F28" s="39" t="s">
        <v>39</v>
      </c>
      <c r="G28" s="39" t="s">
        <v>39</v>
      </c>
      <c r="H28" s="39" t="s">
        <v>39</v>
      </c>
      <c r="I28" s="39" t="s">
        <v>39</v>
      </c>
      <c r="J28" s="39" t="s">
        <v>39</v>
      </c>
      <c r="K28" s="39" t="s">
        <v>39</v>
      </c>
      <c r="L28" s="39" t="s">
        <v>39</v>
      </c>
      <c r="M28" s="39" t="s">
        <v>39</v>
      </c>
      <c r="N28" s="39" t="s">
        <v>39</v>
      </c>
      <c r="O28" s="39" t="s">
        <v>39</v>
      </c>
      <c r="P28" s="39" t="s">
        <v>39</v>
      </c>
      <c r="Q28" s="39" t="s">
        <v>39</v>
      </c>
      <c r="R28" s="39" t="s">
        <v>39</v>
      </c>
      <c r="S28" s="39" t="s">
        <v>39</v>
      </c>
      <c r="T28" s="39" t="s">
        <v>39</v>
      </c>
      <c r="U28" s="39" t="s">
        <v>39</v>
      </c>
      <c r="V28" s="2">
        <v>9</v>
      </c>
      <c r="W28" s="2">
        <v>-34</v>
      </c>
      <c r="X28" s="57">
        <f>0</f>
        <v>0</v>
      </c>
      <c r="Y28" s="2">
        <v>-6</v>
      </c>
    </row>
    <row r="29" spans="2:25" x14ac:dyDescent="0.45">
      <c r="B29" s="20" t="s">
        <v>7</v>
      </c>
      <c r="C29" s="48" t="s">
        <v>42</v>
      </c>
      <c r="D29" s="48" t="s">
        <v>42</v>
      </c>
      <c r="E29" s="41" t="s">
        <v>39</v>
      </c>
      <c r="F29" s="41" t="s">
        <v>39</v>
      </c>
      <c r="G29" s="41" t="s">
        <v>39</v>
      </c>
      <c r="H29" s="41" t="s">
        <v>39</v>
      </c>
      <c r="I29" s="41" t="s">
        <v>39</v>
      </c>
      <c r="J29" s="41" t="s">
        <v>39</v>
      </c>
      <c r="K29" s="41" t="s">
        <v>39</v>
      </c>
      <c r="L29" s="41" t="s">
        <v>39</v>
      </c>
      <c r="M29" s="41" t="s">
        <v>39</v>
      </c>
      <c r="N29" s="41" t="s">
        <v>39</v>
      </c>
      <c r="O29" s="41" t="s">
        <v>39</v>
      </c>
      <c r="P29" s="41" t="s">
        <v>39</v>
      </c>
      <c r="Q29" s="41" t="s">
        <v>39</v>
      </c>
      <c r="R29" s="41" t="s">
        <v>39</v>
      </c>
      <c r="S29" s="41" t="s">
        <v>39</v>
      </c>
      <c r="T29" s="41" t="s">
        <v>39</v>
      </c>
      <c r="U29" s="41" t="s">
        <v>39</v>
      </c>
      <c r="V29" s="5">
        <v>1.4999999999999999E-2</v>
      </c>
      <c r="W29" s="5">
        <v>-0.112</v>
      </c>
      <c r="X29" s="5">
        <v>-1E-3</v>
      </c>
      <c r="Y29" s="5">
        <v>-1.2999999999999999E-2</v>
      </c>
    </row>
    <row r="30" spans="2:25" x14ac:dyDescent="0.45">
      <c r="B30" s="18" t="s">
        <v>53</v>
      </c>
      <c r="C30" s="44"/>
      <c r="D30" s="44"/>
    </row>
    <row r="31" spans="2:25" x14ac:dyDescent="0.45">
      <c r="B31" s="19" t="s">
        <v>4</v>
      </c>
      <c r="C31" s="39" t="s">
        <v>42</v>
      </c>
      <c r="D31" s="39" t="s">
        <v>42</v>
      </c>
      <c r="E31" s="2">
        <v>37</v>
      </c>
      <c r="F31" s="2">
        <v>38</v>
      </c>
      <c r="G31" s="2">
        <v>35</v>
      </c>
      <c r="H31" s="2">
        <v>40</v>
      </c>
      <c r="I31" s="2">
        <v>51</v>
      </c>
      <c r="J31" s="2">
        <v>42</v>
      </c>
      <c r="K31" s="2">
        <v>35</v>
      </c>
      <c r="L31" s="2">
        <v>26</v>
      </c>
      <c r="M31" s="2">
        <v>31</v>
      </c>
      <c r="N31" s="2">
        <v>32</v>
      </c>
      <c r="O31" s="2">
        <v>32</v>
      </c>
      <c r="P31" s="2">
        <v>30</v>
      </c>
      <c r="Q31" s="2">
        <v>33</v>
      </c>
      <c r="R31" s="2">
        <v>31</v>
      </c>
      <c r="S31" s="2">
        <v>32</v>
      </c>
      <c r="T31" s="2">
        <v>34</v>
      </c>
      <c r="U31" s="2">
        <v>33</v>
      </c>
      <c r="V31" s="2">
        <v>33</v>
      </c>
      <c r="W31" s="2">
        <v>27</v>
      </c>
      <c r="X31" s="2">
        <v>34</v>
      </c>
      <c r="Y31" s="2">
        <v>40</v>
      </c>
    </row>
    <row r="32" spans="2:25" x14ac:dyDescent="0.45">
      <c r="B32" s="19" t="s">
        <v>6</v>
      </c>
      <c r="C32" s="39" t="s">
        <v>42</v>
      </c>
      <c r="D32" s="39" t="s">
        <v>42</v>
      </c>
      <c r="E32" s="39" t="s">
        <v>39</v>
      </c>
      <c r="F32" s="39" t="s">
        <v>39</v>
      </c>
      <c r="G32" s="39" t="s">
        <v>39</v>
      </c>
      <c r="H32" s="39" t="s">
        <v>39</v>
      </c>
      <c r="I32" s="39" t="s">
        <v>39</v>
      </c>
      <c r="J32" s="39" t="s">
        <v>39</v>
      </c>
      <c r="K32" s="39" t="s">
        <v>39</v>
      </c>
      <c r="L32" s="39">
        <v>0</v>
      </c>
      <c r="M32" s="2">
        <v>1</v>
      </c>
      <c r="N32" s="2">
        <v>1</v>
      </c>
      <c r="O32" s="2">
        <v>1</v>
      </c>
      <c r="P32" s="2">
        <v>0</v>
      </c>
      <c r="Q32" s="2">
        <v>1</v>
      </c>
      <c r="R32" s="2">
        <v>1</v>
      </c>
      <c r="S32" s="2">
        <v>0</v>
      </c>
      <c r="T32" s="2">
        <v>1</v>
      </c>
      <c r="U32" s="2">
        <v>1</v>
      </c>
      <c r="V32" s="2">
        <v>0</v>
      </c>
      <c r="W32" s="2">
        <v>0</v>
      </c>
      <c r="X32" s="2">
        <v>1</v>
      </c>
      <c r="Y32" s="2">
        <v>1</v>
      </c>
    </row>
    <row r="33" spans="2:25" x14ac:dyDescent="0.45">
      <c r="B33" s="20" t="s">
        <v>7</v>
      </c>
      <c r="C33" s="48" t="s">
        <v>42</v>
      </c>
      <c r="D33" s="48" t="s">
        <v>42</v>
      </c>
      <c r="E33" s="41" t="s">
        <v>39</v>
      </c>
      <c r="F33" s="41" t="s">
        <v>39</v>
      </c>
      <c r="G33" s="41" t="s">
        <v>39</v>
      </c>
      <c r="H33" s="41" t="s">
        <v>39</v>
      </c>
      <c r="I33" s="41" t="s">
        <v>39</v>
      </c>
      <c r="J33" s="41" t="s">
        <v>39</v>
      </c>
      <c r="K33" s="41" t="s">
        <v>39</v>
      </c>
      <c r="L33" s="5">
        <v>0.02</v>
      </c>
      <c r="M33" s="5">
        <v>4.7E-2</v>
      </c>
      <c r="N33" s="5">
        <v>3.4000000000000002E-2</v>
      </c>
      <c r="O33" s="5">
        <v>3.4000000000000002E-2</v>
      </c>
      <c r="P33" s="5">
        <v>2.5999999999999999E-2</v>
      </c>
      <c r="Q33" s="5">
        <v>5.1999999999999998E-2</v>
      </c>
      <c r="R33" s="5">
        <v>5.7000000000000002E-2</v>
      </c>
      <c r="S33" s="5">
        <v>1.2999999999999999E-2</v>
      </c>
      <c r="T33" s="5">
        <v>3.7999999999999999E-2</v>
      </c>
      <c r="U33" s="5">
        <v>0.03</v>
      </c>
      <c r="V33" s="5">
        <v>8.9999999999999993E-3</v>
      </c>
      <c r="W33" s="5">
        <v>2.1000000000000001E-2</v>
      </c>
      <c r="X33" s="5">
        <v>3.3000000000000002E-2</v>
      </c>
      <c r="Y33" s="5">
        <v>4.7E-2</v>
      </c>
    </row>
    <row r="34" spans="2:25" x14ac:dyDescent="0.45">
      <c r="B34" s="49" t="s">
        <v>34</v>
      </c>
      <c r="C34" s="51" t="s">
        <v>42</v>
      </c>
      <c r="D34" s="51" t="s">
        <v>42</v>
      </c>
      <c r="E34" s="51" t="s">
        <v>42</v>
      </c>
      <c r="F34" s="50">
        <v>0</v>
      </c>
      <c r="G34" s="50">
        <v>0</v>
      </c>
      <c r="H34" s="75">
        <f>0</f>
        <v>0</v>
      </c>
      <c r="I34" s="50">
        <v>0</v>
      </c>
      <c r="J34" s="50">
        <v>0</v>
      </c>
      <c r="K34" s="50">
        <v>0</v>
      </c>
      <c r="L34" s="50">
        <v>1</v>
      </c>
      <c r="M34" s="50">
        <v>0</v>
      </c>
      <c r="N34" s="50">
        <v>0</v>
      </c>
      <c r="O34" s="50">
        <v>1</v>
      </c>
      <c r="P34" s="50">
        <v>1</v>
      </c>
      <c r="Q34" s="50">
        <v>1</v>
      </c>
      <c r="R34" s="50">
        <v>2</v>
      </c>
      <c r="S34" s="50">
        <v>3</v>
      </c>
      <c r="T34" s="50">
        <v>1</v>
      </c>
      <c r="U34" s="50">
        <v>3</v>
      </c>
      <c r="V34" s="50">
        <v>2</v>
      </c>
      <c r="W34" s="50">
        <v>1</v>
      </c>
      <c r="X34" s="71">
        <v>1</v>
      </c>
      <c r="Y34" s="71">
        <v>1</v>
      </c>
    </row>
    <row r="35" spans="2:25" x14ac:dyDescent="0.45">
      <c r="B35" s="18" t="s">
        <v>11</v>
      </c>
    </row>
    <row r="36" spans="2:25" x14ac:dyDescent="0.45">
      <c r="B36" s="19" t="s">
        <v>4</v>
      </c>
      <c r="C36" s="2">
        <v>891</v>
      </c>
      <c r="D36" s="2">
        <v>813</v>
      </c>
      <c r="E36" s="2">
        <v>919</v>
      </c>
      <c r="F36" s="2">
        <v>990</v>
      </c>
      <c r="G36" s="2">
        <v>1191</v>
      </c>
      <c r="H36" s="2">
        <v>1292</v>
      </c>
      <c r="I36" s="2">
        <v>1514</v>
      </c>
      <c r="J36" s="2">
        <v>1481</v>
      </c>
      <c r="K36" s="2">
        <v>1208</v>
      </c>
      <c r="L36" s="2">
        <v>1190</v>
      </c>
      <c r="M36" s="2">
        <v>1451</v>
      </c>
      <c r="N36" s="2">
        <v>1500</v>
      </c>
      <c r="O36" s="2">
        <v>1434</v>
      </c>
      <c r="P36" s="2">
        <v>1578</v>
      </c>
      <c r="Q36" s="2">
        <v>1593</v>
      </c>
      <c r="R36" s="2">
        <v>1791</v>
      </c>
      <c r="S36" s="2">
        <v>1728</v>
      </c>
      <c r="T36" s="2">
        <v>1734</v>
      </c>
      <c r="U36" s="2">
        <v>1651</v>
      </c>
      <c r="V36" s="2">
        <v>1590</v>
      </c>
      <c r="W36" s="2">
        <v>1185</v>
      </c>
      <c r="X36" s="2">
        <v>1488</v>
      </c>
      <c r="Y36" s="2">
        <v>1750</v>
      </c>
    </row>
    <row r="37" spans="2:25" x14ac:dyDescent="0.45">
      <c r="B37" s="19" t="s">
        <v>6</v>
      </c>
      <c r="C37" s="2">
        <v>153</v>
      </c>
      <c r="D37" s="2">
        <v>97</v>
      </c>
      <c r="E37" s="2">
        <v>121</v>
      </c>
      <c r="F37" s="2">
        <v>150</v>
      </c>
      <c r="G37" s="2">
        <v>201</v>
      </c>
      <c r="H37" s="2">
        <v>185</v>
      </c>
      <c r="I37" s="2">
        <v>197</v>
      </c>
      <c r="J37" s="2">
        <v>200</v>
      </c>
      <c r="K37" s="2">
        <v>89</v>
      </c>
      <c r="L37" s="2">
        <v>72</v>
      </c>
      <c r="M37" s="2">
        <v>140</v>
      </c>
      <c r="N37" s="2">
        <v>106</v>
      </c>
      <c r="O37" s="2">
        <v>75</v>
      </c>
      <c r="P37" s="2">
        <v>121</v>
      </c>
      <c r="Q37" s="2">
        <v>103</v>
      </c>
      <c r="R37" s="2">
        <v>131</v>
      </c>
      <c r="S37" s="2">
        <v>86</v>
      </c>
      <c r="T37" s="2">
        <v>101</v>
      </c>
      <c r="U37" s="2">
        <v>85</v>
      </c>
      <c r="V37" s="2">
        <v>66</v>
      </c>
      <c r="W37" s="2">
        <v>7</v>
      </c>
      <c r="X37" s="2">
        <v>130</v>
      </c>
      <c r="Y37" s="2">
        <v>158</v>
      </c>
    </row>
    <row r="38" spans="2:25" x14ac:dyDescent="0.45">
      <c r="B38" s="20" t="s">
        <v>7</v>
      </c>
      <c r="C38" s="5">
        <v>0.17199999999999999</v>
      </c>
      <c r="D38" s="5">
        <v>0.12</v>
      </c>
      <c r="E38" s="5">
        <v>0.13300000000000001</v>
      </c>
      <c r="F38" s="5">
        <v>0.151</v>
      </c>
      <c r="G38" s="5">
        <v>0.16900000000000001</v>
      </c>
      <c r="H38" s="5">
        <v>0.14299999999999999</v>
      </c>
      <c r="I38" s="5">
        <v>0.13</v>
      </c>
      <c r="J38" s="5">
        <v>0.13500000000000001</v>
      </c>
      <c r="K38" s="5">
        <v>7.3999999999999996E-2</v>
      </c>
      <c r="L38" s="5">
        <v>6.0999999999999999E-2</v>
      </c>
      <c r="M38" s="5">
        <v>9.7000000000000003E-2</v>
      </c>
      <c r="N38" s="5">
        <v>7.0999999999999994E-2</v>
      </c>
      <c r="O38" s="5">
        <v>5.2999999999999999E-2</v>
      </c>
      <c r="P38" s="5">
        <v>7.6999999999999999E-2</v>
      </c>
      <c r="Q38" s="5">
        <v>6.5000000000000002E-2</v>
      </c>
      <c r="R38" s="5">
        <v>7.2999999999999995E-2</v>
      </c>
      <c r="S38" s="5">
        <v>0.05</v>
      </c>
      <c r="T38" s="5">
        <v>5.8999999999999997E-2</v>
      </c>
      <c r="U38" s="5">
        <v>5.1999999999999998E-2</v>
      </c>
      <c r="V38" s="5">
        <v>4.2000000000000003E-2</v>
      </c>
      <c r="W38" s="5">
        <v>6.0000000000000001E-3</v>
      </c>
      <c r="X38" s="5">
        <v>8.7999999999999995E-2</v>
      </c>
      <c r="Y38" s="5">
        <v>9.0999999999999998E-2</v>
      </c>
    </row>
    <row r="40" spans="2:25" x14ac:dyDescent="0.45">
      <c r="B40" s="70" t="s">
        <v>46</v>
      </c>
      <c r="I40" s="45"/>
      <c r="J40" s="45"/>
      <c r="W40" s="45"/>
    </row>
    <row r="41" spans="2:25" x14ac:dyDescent="0.45">
      <c r="B41" s="70" t="s">
        <v>47</v>
      </c>
      <c r="I41" s="45"/>
      <c r="J41" s="45"/>
      <c r="W41" s="45"/>
    </row>
    <row r="42" spans="2:25" x14ac:dyDescent="0.45">
      <c r="B42" s="70" t="s">
        <v>51</v>
      </c>
      <c r="I42" s="45"/>
      <c r="J42" s="45"/>
      <c r="W42" s="45"/>
    </row>
    <row r="43" spans="2:25" x14ac:dyDescent="0.45">
      <c r="B43" s="70" t="s">
        <v>67</v>
      </c>
      <c r="I43" s="45"/>
      <c r="J43" s="45"/>
      <c r="W43" s="45"/>
    </row>
    <row r="44" spans="2:25" x14ac:dyDescent="0.45">
      <c r="B44" s="70" t="s">
        <v>60</v>
      </c>
      <c r="I44" s="45"/>
      <c r="J44" s="45"/>
      <c r="W44" s="45"/>
    </row>
    <row r="45" spans="2:25" x14ac:dyDescent="0.45">
      <c r="B45" s="70" t="s">
        <v>56</v>
      </c>
    </row>
    <row r="46" spans="2:25" x14ac:dyDescent="0.45">
      <c r="B46" s="70" t="s">
        <v>57</v>
      </c>
      <c r="I46" s="45"/>
      <c r="J46" s="45"/>
      <c r="W46" s="45"/>
    </row>
    <row r="47" spans="2:25" x14ac:dyDescent="0.45">
      <c r="B47" s="70" t="s">
        <v>61</v>
      </c>
      <c r="I47" s="45"/>
      <c r="J47" s="45"/>
      <c r="W47" s="45"/>
    </row>
    <row r="48" spans="2:25" x14ac:dyDescent="0.45">
      <c r="B48" s="70" t="s">
        <v>111</v>
      </c>
      <c r="I48" s="45"/>
      <c r="J48" s="45"/>
      <c r="W48" s="45"/>
    </row>
    <row r="49" spans="2:23" x14ac:dyDescent="0.45">
      <c r="B49" s="70" t="s">
        <v>66</v>
      </c>
      <c r="I49" s="45"/>
      <c r="J49" s="45"/>
      <c r="W49" s="45"/>
    </row>
    <row r="50" spans="2:23" x14ac:dyDescent="0.45">
      <c r="B50" s="70" t="s">
        <v>65</v>
      </c>
      <c r="I50" s="45"/>
      <c r="J50" s="45"/>
      <c r="W50" s="45"/>
    </row>
    <row r="51" spans="2:23" x14ac:dyDescent="0.45">
      <c r="B51" s="70" t="s">
        <v>64</v>
      </c>
      <c r="I51" s="45"/>
      <c r="J51" s="45"/>
      <c r="W51" s="45"/>
    </row>
    <row r="52" spans="2:23" x14ac:dyDescent="0.45">
      <c r="B52" s="70" t="s">
        <v>63</v>
      </c>
      <c r="I52" s="45"/>
      <c r="J52" s="45"/>
      <c r="W52" s="45"/>
    </row>
    <row r="53" spans="2:23" x14ac:dyDescent="0.45">
      <c r="B53" s="70" t="s">
        <v>112</v>
      </c>
      <c r="I53" s="45"/>
      <c r="J53" s="45"/>
      <c r="W53" s="45"/>
    </row>
    <row r="54" spans="2:23" x14ac:dyDescent="0.45">
      <c r="B54" s="70"/>
      <c r="I54" s="45"/>
      <c r="J54" s="45"/>
      <c r="W54" s="45"/>
    </row>
    <row r="55" spans="2:23" x14ac:dyDescent="0.45">
      <c r="I55" s="45"/>
      <c r="J55" s="45"/>
      <c r="W55" s="45"/>
    </row>
    <row r="56" spans="2:23" x14ac:dyDescent="0.45">
      <c r="I56" s="52"/>
      <c r="W56" s="52"/>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5407-6705-4E58-9568-039D315AD0CC}">
  <dimension ref="A1:CP63"/>
  <sheetViews>
    <sheetView showGridLines="0" tabSelected="1" topLeftCell="A28" zoomScale="70" zoomScaleNormal="70" workbookViewId="0">
      <pane xSplit="2" topLeftCell="C1" activePane="topRight" state="frozen"/>
      <selection pane="topRight" activeCell="L50" sqref="L50"/>
    </sheetView>
  </sheetViews>
  <sheetFormatPr defaultRowHeight="18" x14ac:dyDescent="0.45"/>
  <cols>
    <col min="1" max="1" width="4" customWidth="1"/>
    <col min="2" max="2" width="25.3984375" bestFit="1" customWidth="1"/>
    <col min="3" max="3" width="12.19921875" bestFit="1" customWidth="1"/>
    <col min="4" max="10" width="12.19921875" customWidth="1"/>
    <col min="11" max="11" width="12.19921875" bestFit="1" customWidth="1"/>
    <col min="12" max="54" width="12.19921875" customWidth="1"/>
    <col min="55" max="55" width="12.19921875" bestFit="1" customWidth="1"/>
    <col min="56" max="94" width="12.19921875" customWidth="1"/>
  </cols>
  <sheetData>
    <row r="1" spans="1:94" x14ac:dyDescent="0.45">
      <c r="A1" t="s">
        <v>31</v>
      </c>
    </row>
    <row r="3" spans="1:94" x14ac:dyDescent="0.45">
      <c r="BS3" s="94"/>
      <c r="BT3" s="94"/>
      <c r="BU3" s="94"/>
      <c r="BV3" s="94"/>
      <c r="BW3" s="94"/>
      <c r="BX3" s="94"/>
      <c r="BY3" s="94"/>
      <c r="BZ3" s="94"/>
      <c r="CA3" s="94"/>
      <c r="CB3" s="94"/>
      <c r="CC3" s="94"/>
      <c r="CD3" s="94"/>
      <c r="CE3" s="94"/>
      <c r="CF3" s="94"/>
      <c r="CG3" s="94"/>
      <c r="CH3" s="94"/>
      <c r="CI3" s="94"/>
      <c r="CJ3" s="94"/>
      <c r="CK3" s="94"/>
      <c r="CL3" s="94"/>
      <c r="CM3" s="94"/>
      <c r="CN3" s="94"/>
      <c r="CO3" s="94"/>
      <c r="CP3" s="94"/>
    </row>
    <row r="4" spans="1:94" x14ac:dyDescent="0.45">
      <c r="B4" s="44" t="s">
        <v>68</v>
      </c>
      <c r="C4" s="92">
        <v>2000</v>
      </c>
      <c r="D4" s="92"/>
      <c r="E4" s="92"/>
      <c r="F4" s="93"/>
      <c r="G4" s="91">
        <v>2001</v>
      </c>
      <c r="H4" s="92"/>
      <c r="I4" s="92"/>
      <c r="J4" s="92"/>
      <c r="K4" s="91">
        <v>2002</v>
      </c>
      <c r="L4" s="92"/>
      <c r="M4" s="92"/>
      <c r="N4" s="92"/>
      <c r="O4" s="91">
        <v>2003</v>
      </c>
      <c r="P4" s="92"/>
      <c r="Q4" s="92"/>
      <c r="R4" s="92"/>
      <c r="S4" s="91">
        <v>2004</v>
      </c>
      <c r="T4" s="92"/>
      <c r="U4" s="92"/>
      <c r="V4" s="92"/>
      <c r="W4" s="91">
        <v>2005</v>
      </c>
      <c r="X4" s="92"/>
      <c r="Y4" s="92"/>
      <c r="Z4" s="92"/>
      <c r="AA4" s="91">
        <v>2006</v>
      </c>
      <c r="AB4" s="92"/>
      <c r="AC4" s="92"/>
      <c r="AD4" s="92"/>
      <c r="AE4" s="91">
        <v>2007</v>
      </c>
      <c r="AF4" s="92"/>
      <c r="AG4" s="92"/>
      <c r="AH4" s="92"/>
      <c r="AI4" s="91">
        <v>2008</v>
      </c>
      <c r="AJ4" s="92"/>
      <c r="AK4" s="92"/>
      <c r="AL4" s="92"/>
      <c r="AM4" s="91">
        <v>2009</v>
      </c>
      <c r="AN4" s="92"/>
      <c r="AO4" s="92"/>
      <c r="AP4" s="92"/>
      <c r="AQ4" s="91">
        <v>2010</v>
      </c>
      <c r="AR4" s="92"/>
      <c r="AS4" s="92"/>
      <c r="AT4" s="92"/>
      <c r="AU4" s="91">
        <v>2011</v>
      </c>
      <c r="AV4" s="92"/>
      <c r="AW4" s="92"/>
      <c r="AX4" s="92"/>
      <c r="AY4" s="91">
        <v>2012</v>
      </c>
      <c r="AZ4" s="92"/>
      <c r="BA4" s="92"/>
      <c r="BB4" s="92"/>
      <c r="BC4" s="91">
        <v>2013</v>
      </c>
      <c r="BD4" s="92"/>
      <c r="BE4" s="92"/>
      <c r="BF4" s="92"/>
      <c r="BG4" s="91">
        <v>2014</v>
      </c>
      <c r="BH4" s="92"/>
      <c r="BI4" s="92"/>
      <c r="BJ4" s="92"/>
      <c r="BK4" s="91">
        <v>2015</v>
      </c>
      <c r="BL4" s="92"/>
      <c r="BM4" s="92"/>
      <c r="BN4" s="93"/>
      <c r="BO4" s="91">
        <v>2016</v>
      </c>
      <c r="BP4" s="92"/>
      <c r="BQ4" s="92"/>
      <c r="BR4" s="92"/>
      <c r="BS4" s="91">
        <v>2017</v>
      </c>
      <c r="BT4" s="92"/>
      <c r="BU4" s="92"/>
      <c r="BV4" s="92"/>
      <c r="BW4" s="91">
        <v>2018</v>
      </c>
      <c r="BX4" s="92"/>
      <c r="BY4" s="92"/>
      <c r="BZ4" s="92"/>
      <c r="CA4" s="91">
        <v>2019</v>
      </c>
      <c r="CB4" s="92"/>
      <c r="CC4" s="92"/>
      <c r="CD4" s="92"/>
      <c r="CE4" s="91">
        <v>2020</v>
      </c>
      <c r="CF4" s="92"/>
      <c r="CG4" s="92"/>
      <c r="CH4" s="92"/>
      <c r="CI4" s="91">
        <v>2021</v>
      </c>
      <c r="CJ4" s="92"/>
      <c r="CK4" s="92"/>
      <c r="CL4" s="92"/>
      <c r="CM4" s="91">
        <v>2022</v>
      </c>
      <c r="CN4" s="92"/>
      <c r="CO4" s="92"/>
      <c r="CP4" s="92"/>
    </row>
    <row r="5" spans="1:94" x14ac:dyDescent="0.45">
      <c r="C5" s="22" t="s">
        <v>27</v>
      </c>
      <c r="D5" s="22" t="s">
        <v>80</v>
      </c>
      <c r="E5" s="22" t="s">
        <v>81</v>
      </c>
      <c r="F5" s="22" t="s">
        <v>82</v>
      </c>
      <c r="G5" s="85" t="s">
        <v>27</v>
      </c>
      <c r="H5" s="22" t="s">
        <v>80</v>
      </c>
      <c r="I5" s="22" t="s">
        <v>81</v>
      </c>
      <c r="J5" s="22" t="s">
        <v>82</v>
      </c>
      <c r="K5" s="85" t="s">
        <v>27</v>
      </c>
      <c r="L5" s="22" t="s">
        <v>80</v>
      </c>
      <c r="M5" s="22" t="s">
        <v>81</v>
      </c>
      <c r="N5" s="22" t="s">
        <v>82</v>
      </c>
      <c r="O5" s="85" t="s">
        <v>27</v>
      </c>
      <c r="P5" s="22" t="s">
        <v>80</v>
      </c>
      <c r="Q5" s="22" t="s">
        <v>81</v>
      </c>
      <c r="R5" s="22" t="s">
        <v>82</v>
      </c>
      <c r="S5" s="85" t="s">
        <v>27</v>
      </c>
      <c r="T5" s="22" t="s">
        <v>80</v>
      </c>
      <c r="U5" s="22" t="s">
        <v>81</v>
      </c>
      <c r="V5" s="22" t="s">
        <v>82</v>
      </c>
      <c r="W5" s="85" t="s">
        <v>27</v>
      </c>
      <c r="X5" s="22" t="s">
        <v>80</v>
      </c>
      <c r="Y5" s="22" t="s">
        <v>81</v>
      </c>
      <c r="Z5" s="22" t="s">
        <v>82</v>
      </c>
      <c r="AA5" s="85" t="s">
        <v>27</v>
      </c>
      <c r="AB5" s="22" t="s">
        <v>80</v>
      </c>
      <c r="AC5" s="22" t="s">
        <v>81</v>
      </c>
      <c r="AD5" s="22" t="s">
        <v>82</v>
      </c>
      <c r="AE5" s="85" t="s">
        <v>27</v>
      </c>
      <c r="AF5" s="22" t="s">
        <v>80</v>
      </c>
      <c r="AG5" s="22" t="s">
        <v>81</v>
      </c>
      <c r="AH5" s="22" t="s">
        <v>82</v>
      </c>
      <c r="AI5" s="85" t="s">
        <v>27</v>
      </c>
      <c r="AJ5" s="22" t="s">
        <v>80</v>
      </c>
      <c r="AK5" s="22" t="s">
        <v>81</v>
      </c>
      <c r="AL5" s="22" t="s">
        <v>82</v>
      </c>
      <c r="AM5" s="85" t="s">
        <v>27</v>
      </c>
      <c r="AN5" s="22" t="s">
        <v>80</v>
      </c>
      <c r="AO5" s="22" t="s">
        <v>81</v>
      </c>
      <c r="AP5" s="22" t="s">
        <v>82</v>
      </c>
      <c r="AQ5" s="85" t="s">
        <v>27</v>
      </c>
      <c r="AR5" s="22" t="s">
        <v>80</v>
      </c>
      <c r="AS5" s="22" t="s">
        <v>81</v>
      </c>
      <c r="AT5" s="22" t="s">
        <v>82</v>
      </c>
      <c r="AU5" s="85" t="s">
        <v>27</v>
      </c>
      <c r="AV5" s="22" t="s">
        <v>28</v>
      </c>
      <c r="AW5" s="22" t="s">
        <v>29</v>
      </c>
      <c r="AX5" s="22" t="s">
        <v>30</v>
      </c>
      <c r="AY5" s="85" t="s">
        <v>27</v>
      </c>
      <c r="AZ5" s="22" t="s">
        <v>28</v>
      </c>
      <c r="BA5" s="22" t="s">
        <v>29</v>
      </c>
      <c r="BB5" s="22" t="s">
        <v>30</v>
      </c>
      <c r="BC5" s="85" t="s">
        <v>27</v>
      </c>
      <c r="BD5" s="22" t="s">
        <v>28</v>
      </c>
      <c r="BE5" s="22" t="s">
        <v>29</v>
      </c>
      <c r="BF5" s="22" t="s">
        <v>30</v>
      </c>
      <c r="BG5" s="85" t="s">
        <v>27</v>
      </c>
      <c r="BH5" s="22" t="s">
        <v>28</v>
      </c>
      <c r="BI5" s="22" t="s">
        <v>29</v>
      </c>
      <c r="BJ5" s="22" t="s">
        <v>30</v>
      </c>
      <c r="BK5" s="85" t="s">
        <v>27</v>
      </c>
      <c r="BL5" s="22" t="s">
        <v>28</v>
      </c>
      <c r="BM5" s="22" t="s">
        <v>29</v>
      </c>
      <c r="BN5" s="22" t="s">
        <v>30</v>
      </c>
      <c r="BO5" s="85" t="s">
        <v>27</v>
      </c>
      <c r="BP5" s="22" t="s">
        <v>28</v>
      </c>
      <c r="BQ5" s="22" t="s">
        <v>29</v>
      </c>
      <c r="BR5" s="22" t="s">
        <v>30</v>
      </c>
      <c r="BS5" s="85" t="s">
        <v>27</v>
      </c>
      <c r="BT5" s="22" t="s">
        <v>28</v>
      </c>
      <c r="BU5" s="22" t="s">
        <v>29</v>
      </c>
      <c r="BV5" s="22" t="s">
        <v>30</v>
      </c>
      <c r="BW5" s="85" t="s">
        <v>27</v>
      </c>
      <c r="BX5" s="22" t="s">
        <v>28</v>
      </c>
      <c r="BY5" s="22" t="s">
        <v>29</v>
      </c>
      <c r="BZ5" s="22" t="s">
        <v>30</v>
      </c>
      <c r="CA5" s="85" t="s">
        <v>27</v>
      </c>
      <c r="CB5" s="22" t="s">
        <v>28</v>
      </c>
      <c r="CC5" s="22" t="s">
        <v>29</v>
      </c>
      <c r="CD5" s="22" t="s">
        <v>30</v>
      </c>
      <c r="CE5" s="85" t="s">
        <v>27</v>
      </c>
      <c r="CF5" s="22" t="s">
        <v>28</v>
      </c>
      <c r="CG5" s="22" t="s">
        <v>29</v>
      </c>
      <c r="CH5" s="22" t="s">
        <v>30</v>
      </c>
      <c r="CI5" s="85" t="s">
        <v>27</v>
      </c>
      <c r="CJ5" s="22" t="s">
        <v>28</v>
      </c>
      <c r="CK5" s="22" t="s">
        <v>29</v>
      </c>
      <c r="CL5" s="22" t="s">
        <v>30</v>
      </c>
      <c r="CM5" s="85" t="s">
        <v>27</v>
      </c>
      <c r="CN5" s="22" t="s">
        <v>28</v>
      </c>
      <c r="CO5" s="22" t="s">
        <v>29</v>
      </c>
      <c r="CP5" s="22" t="s">
        <v>30</v>
      </c>
    </row>
    <row r="6" spans="1:94" x14ac:dyDescent="0.45">
      <c r="B6" s="44" t="s">
        <v>79</v>
      </c>
      <c r="C6" s="35" t="s">
        <v>91</v>
      </c>
      <c r="D6" s="35" t="s">
        <v>92</v>
      </c>
      <c r="E6" s="35" t="s">
        <v>91</v>
      </c>
      <c r="F6" s="35" t="s">
        <v>91</v>
      </c>
      <c r="G6" s="85" t="s">
        <v>91</v>
      </c>
      <c r="H6" s="35" t="s">
        <v>92</v>
      </c>
      <c r="I6" s="35" t="s">
        <v>91</v>
      </c>
      <c r="J6" s="35" t="s">
        <v>91</v>
      </c>
      <c r="K6" s="85" t="s">
        <v>91</v>
      </c>
      <c r="L6" s="35" t="s">
        <v>92</v>
      </c>
      <c r="M6" s="35" t="s">
        <v>91</v>
      </c>
      <c r="N6" s="35" t="s">
        <v>91</v>
      </c>
      <c r="O6" s="85" t="s">
        <v>93</v>
      </c>
      <c r="P6" s="35" t="s">
        <v>93</v>
      </c>
      <c r="Q6" s="35" t="s">
        <v>93</v>
      </c>
      <c r="R6" s="35" t="s">
        <v>93</v>
      </c>
      <c r="S6" s="85"/>
      <c r="T6" s="22"/>
      <c r="U6" s="22"/>
      <c r="V6" s="22"/>
      <c r="W6" s="85"/>
      <c r="X6" s="22"/>
      <c r="Y6" s="22"/>
      <c r="Z6" s="22"/>
      <c r="AA6" s="85"/>
      <c r="AB6" s="22"/>
      <c r="AC6" s="22"/>
      <c r="AD6" s="22"/>
      <c r="AE6" s="85"/>
      <c r="AF6" s="22"/>
      <c r="AG6" s="22"/>
      <c r="AH6" s="22"/>
      <c r="AI6" s="85"/>
      <c r="AJ6" s="22"/>
      <c r="AK6" s="22"/>
      <c r="AL6" s="22"/>
      <c r="AM6" s="85" t="s">
        <v>95</v>
      </c>
      <c r="AN6" s="35" t="s">
        <v>95</v>
      </c>
      <c r="AO6" s="35" t="s">
        <v>95</v>
      </c>
      <c r="AP6" s="35" t="s">
        <v>95</v>
      </c>
      <c r="AQ6" s="85" t="s">
        <v>83</v>
      </c>
      <c r="AR6" s="35" t="s">
        <v>97</v>
      </c>
      <c r="AS6" s="35" t="s">
        <v>99</v>
      </c>
      <c r="AT6" s="35" t="s">
        <v>99</v>
      </c>
      <c r="AU6" s="85"/>
      <c r="AV6" s="22"/>
      <c r="AW6" s="35"/>
      <c r="AX6" s="35"/>
      <c r="AY6" s="85"/>
      <c r="AZ6" s="22"/>
      <c r="BA6" s="22"/>
      <c r="BB6" s="22"/>
      <c r="BC6" s="85"/>
      <c r="BD6" s="35" t="s">
        <v>84</v>
      </c>
      <c r="BE6" s="35"/>
      <c r="BF6" s="35"/>
      <c r="BG6" s="85"/>
      <c r="BH6" s="35" t="s">
        <v>84</v>
      </c>
      <c r="BI6" s="35"/>
      <c r="BJ6" s="35"/>
      <c r="BK6" s="85"/>
      <c r="BL6" s="35"/>
      <c r="BM6" s="35"/>
      <c r="BN6" s="35"/>
      <c r="BO6" s="85"/>
      <c r="BP6" s="35"/>
      <c r="BQ6" s="35"/>
      <c r="BR6" s="35"/>
      <c r="BS6" s="85"/>
      <c r="BT6" s="35"/>
      <c r="BU6" s="35"/>
      <c r="BV6" s="35"/>
      <c r="BW6" s="85"/>
      <c r="BX6" s="35"/>
      <c r="BY6" s="35"/>
      <c r="BZ6" s="35"/>
      <c r="CA6" s="85"/>
      <c r="CB6" s="35" t="s">
        <v>100</v>
      </c>
      <c r="CC6" s="35" t="s">
        <v>100</v>
      </c>
      <c r="CD6" s="35" t="s">
        <v>100</v>
      </c>
      <c r="CE6" s="85"/>
      <c r="CF6" s="35" t="s">
        <v>100</v>
      </c>
      <c r="CG6" s="35" t="s">
        <v>100</v>
      </c>
      <c r="CH6" s="35" t="s">
        <v>100</v>
      </c>
      <c r="CI6" s="85"/>
      <c r="CJ6" s="35" t="s">
        <v>100</v>
      </c>
      <c r="CK6" s="35" t="s">
        <v>100</v>
      </c>
      <c r="CL6" s="35" t="s">
        <v>100</v>
      </c>
      <c r="CM6" s="85"/>
      <c r="CN6" s="35" t="s">
        <v>100</v>
      </c>
      <c r="CO6" s="35" t="s">
        <v>100</v>
      </c>
      <c r="CP6" s="35" t="s">
        <v>100</v>
      </c>
    </row>
    <row r="7" spans="1:94" x14ac:dyDescent="0.45">
      <c r="B7" s="23" t="s">
        <v>50</v>
      </c>
      <c r="C7" s="9"/>
      <c r="F7" s="61"/>
      <c r="G7" s="9"/>
      <c r="J7" s="4"/>
      <c r="K7" s="9"/>
      <c r="N7" s="4"/>
      <c r="O7" s="9"/>
      <c r="S7" s="9"/>
      <c r="W7" s="9"/>
      <c r="AA7" s="9"/>
      <c r="AE7" s="6"/>
      <c r="AI7" s="9"/>
      <c r="AM7" s="9"/>
      <c r="AQ7" s="9"/>
      <c r="AU7" s="9"/>
      <c r="AY7" s="9"/>
      <c r="BC7" s="9"/>
      <c r="BG7" s="9"/>
      <c r="BK7" s="9"/>
      <c r="BO7" s="9"/>
      <c r="BS7" s="9"/>
      <c r="BW7" s="9"/>
      <c r="CA7" s="6"/>
      <c r="CE7" s="9"/>
      <c r="CI7" s="9"/>
      <c r="CM7" s="6"/>
    </row>
    <row r="8" spans="1:94" x14ac:dyDescent="0.45">
      <c r="B8" s="19" t="s">
        <v>4</v>
      </c>
      <c r="C8" s="39" t="s">
        <v>39</v>
      </c>
      <c r="D8" s="39" t="s">
        <v>39</v>
      </c>
      <c r="E8" s="39" t="s">
        <v>39</v>
      </c>
      <c r="F8" s="69" t="s">
        <v>39</v>
      </c>
      <c r="G8" s="77" t="s">
        <v>39</v>
      </c>
      <c r="H8" s="39" t="s">
        <v>39</v>
      </c>
      <c r="I8" s="39" t="s">
        <v>39</v>
      </c>
      <c r="J8" s="39" t="s">
        <v>39</v>
      </c>
      <c r="K8" s="77" t="s">
        <v>39</v>
      </c>
      <c r="L8" s="39" t="s">
        <v>39</v>
      </c>
      <c r="M8" s="39" t="s">
        <v>39</v>
      </c>
      <c r="N8" s="39" t="s">
        <v>39</v>
      </c>
      <c r="O8" s="77" t="s">
        <v>39</v>
      </c>
      <c r="P8" s="39" t="s">
        <v>39</v>
      </c>
      <c r="Q8" s="39" t="s">
        <v>39</v>
      </c>
      <c r="R8" s="39" t="s">
        <v>39</v>
      </c>
      <c r="S8" s="77" t="s">
        <v>39</v>
      </c>
      <c r="T8" s="39" t="s">
        <v>39</v>
      </c>
      <c r="U8" s="39" t="s">
        <v>39</v>
      </c>
      <c r="V8" s="39" t="s">
        <v>39</v>
      </c>
      <c r="W8" s="7">
        <v>158</v>
      </c>
      <c r="X8" s="2">
        <v>170</v>
      </c>
      <c r="Y8" s="2">
        <v>169</v>
      </c>
      <c r="Z8" s="2">
        <v>186</v>
      </c>
      <c r="AA8" s="7">
        <v>176</v>
      </c>
      <c r="AB8" s="2">
        <v>183</v>
      </c>
      <c r="AC8" s="2">
        <v>180</v>
      </c>
      <c r="AD8" s="2">
        <v>179</v>
      </c>
      <c r="AE8" s="7">
        <v>189</v>
      </c>
      <c r="AF8" s="2">
        <v>196</v>
      </c>
      <c r="AG8" s="2">
        <v>194</v>
      </c>
      <c r="AH8" s="2">
        <v>178</v>
      </c>
      <c r="AI8" s="7">
        <v>177</v>
      </c>
      <c r="AJ8" s="2">
        <v>176</v>
      </c>
      <c r="AK8" s="2">
        <v>137</v>
      </c>
      <c r="AL8" s="2">
        <v>99</v>
      </c>
      <c r="AM8" s="7">
        <v>119</v>
      </c>
      <c r="AN8" s="2">
        <v>130</v>
      </c>
      <c r="AO8" s="2">
        <v>134</v>
      </c>
      <c r="AP8" s="2">
        <v>145</v>
      </c>
      <c r="AQ8" s="7">
        <v>152</v>
      </c>
      <c r="AR8" s="2">
        <v>141</v>
      </c>
      <c r="AS8" s="2">
        <v>140</v>
      </c>
      <c r="AT8" s="2">
        <v>138</v>
      </c>
      <c r="AU8" s="7">
        <v>135</v>
      </c>
      <c r="AV8" s="2">
        <v>130</v>
      </c>
      <c r="AW8" s="2">
        <v>125</v>
      </c>
      <c r="AX8" s="2">
        <v>133</v>
      </c>
      <c r="AY8" s="7">
        <v>131</v>
      </c>
      <c r="AZ8" s="2">
        <v>132</v>
      </c>
      <c r="BA8" s="2">
        <v>133</v>
      </c>
      <c r="BB8" s="2">
        <v>145</v>
      </c>
      <c r="BC8" s="7">
        <v>148</v>
      </c>
      <c r="BD8" s="2">
        <v>154</v>
      </c>
      <c r="BE8" s="2">
        <v>162</v>
      </c>
      <c r="BF8" s="2">
        <v>169</v>
      </c>
      <c r="BG8" s="7">
        <v>169</v>
      </c>
      <c r="BH8" s="2">
        <v>171</v>
      </c>
      <c r="BI8" s="2">
        <v>184</v>
      </c>
      <c r="BJ8" s="2">
        <v>194</v>
      </c>
      <c r="BK8" s="7">
        <v>192</v>
      </c>
      <c r="BL8" s="2">
        <v>199</v>
      </c>
      <c r="BM8" s="2">
        <v>190</v>
      </c>
      <c r="BN8" s="2">
        <v>189</v>
      </c>
      <c r="BO8" s="7">
        <v>181</v>
      </c>
      <c r="BP8" s="2">
        <v>177</v>
      </c>
      <c r="BQ8" s="2">
        <v>176</v>
      </c>
      <c r="BR8" s="2">
        <v>183</v>
      </c>
      <c r="BS8" s="7">
        <v>182</v>
      </c>
      <c r="BT8" s="2">
        <v>186</v>
      </c>
      <c r="BU8" s="2">
        <v>178</v>
      </c>
      <c r="BV8" s="2">
        <v>176</v>
      </c>
      <c r="BW8" s="7">
        <v>173</v>
      </c>
      <c r="BX8" s="2">
        <v>172</v>
      </c>
      <c r="BY8" s="2">
        <v>171</v>
      </c>
      <c r="BZ8" s="2">
        <v>155</v>
      </c>
      <c r="CA8" s="7">
        <v>154</v>
      </c>
      <c r="CB8" s="2">
        <v>149</v>
      </c>
      <c r="CC8" s="2">
        <v>143</v>
      </c>
      <c r="CD8" s="2">
        <v>137</v>
      </c>
      <c r="CE8" s="7">
        <v>104</v>
      </c>
      <c r="CF8" s="2">
        <v>105</v>
      </c>
      <c r="CG8" s="2">
        <v>116</v>
      </c>
      <c r="CH8" s="2">
        <v>130</v>
      </c>
      <c r="CI8" s="7">
        <v>136</v>
      </c>
      <c r="CJ8" s="2">
        <v>143</v>
      </c>
      <c r="CK8" s="2">
        <v>152</v>
      </c>
      <c r="CL8" s="2">
        <v>145</v>
      </c>
      <c r="CM8" s="7">
        <v>160</v>
      </c>
      <c r="CN8" s="2">
        <v>164</v>
      </c>
      <c r="CO8" s="2">
        <v>150</v>
      </c>
      <c r="CP8" s="2">
        <v>142</v>
      </c>
    </row>
    <row r="9" spans="1:94" x14ac:dyDescent="0.45">
      <c r="B9" s="19" t="s">
        <v>6</v>
      </c>
      <c r="C9" s="39" t="s">
        <v>39</v>
      </c>
      <c r="D9" s="39" t="s">
        <v>39</v>
      </c>
      <c r="E9" s="39" t="s">
        <v>39</v>
      </c>
      <c r="F9" s="39" t="s">
        <v>39</v>
      </c>
      <c r="G9" s="77" t="s">
        <v>39</v>
      </c>
      <c r="H9" s="39" t="s">
        <v>39</v>
      </c>
      <c r="I9" s="39" t="s">
        <v>39</v>
      </c>
      <c r="J9" s="39" t="s">
        <v>39</v>
      </c>
      <c r="K9" s="77" t="s">
        <v>39</v>
      </c>
      <c r="L9" s="39" t="s">
        <v>39</v>
      </c>
      <c r="M9" s="39" t="s">
        <v>39</v>
      </c>
      <c r="N9" s="39" t="s">
        <v>39</v>
      </c>
      <c r="O9" s="77" t="s">
        <v>39</v>
      </c>
      <c r="P9" s="39" t="s">
        <v>39</v>
      </c>
      <c r="Q9" s="39" t="s">
        <v>39</v>
      </c>
      <c r="R9" s="39" t="s">
        <v>39</v>
      </c>
      <c r="S9" s="77" t="s">
        <v>39</v>
      </c>
      <c r="T9" s="39" t="s">
        <v>39</v>
      </c>
      <c r="U9" s="39" t="s">
        <v>39</v>
      </c>
      <c r="V9" s="39" t="s">
        <v>39</v>
      </c>
      <c r="W9" s="77" t="s">
        <v>39</v>
      </c>
      <c r="X9" s="39" t="s">
        <v>39</v>
      </c>
      <c r="Y9" s="39" t="s">
        <v>39</v>
      </c>
      <c r="Z9" s="39" t="s">
        <v>39</v>
      </c>
      <c r="AA9" s="77" t="s">
        <v>39</v>
      </c>
      <c r="AB9" s="39" t="s">
        <v>39</v>
      </c>
      <c r="AC9" s="39" t="s">
        <v>39</v>
      </c>
      <c r="AD9" s="39" t="s">
        <v>39</v>
      </c>
      <c r="AE9" s="77" t="s">
        <v>39</v>
      </c>
      <c r="AF9" s="39" t="s">
        <v>39</v>
      </c>
      <c r="AG9" s="39" t="s">
        <v>39</v>
      </c>
      <c r="AH9" s="39" t="s">
        <v>39</v>
      </c>
      <c r="AI9" s="77" t="s">
        <v>39</v>
      </c>
      <c r="AJ9" s="39" t="s">
        <v>39</v>
      </c>
      <c r="AK9" s="39" t="s">
        <v>39</v>
      </c>
      <c r="AL9" s="39" t="s">
        <v>39</v>
      </c>
      <c r="AM9" s="77" t="s">
        <v>39</v>
      </c>
      <c r="AN9" s="39" t="s">
        <v>39</v>
      </c>
      <c r="AO9" s="39" t="s">
        <v>39</v>
      </c>
      <c r="AP9" s="39" t="s">
        <v>39</v>
      </c>
      <c r="AQ9" s="7">
        <v>24</v>
      </c>
      <c r="AR9" s="2">
        <f>+AR8*AR10</f>
        <v>25.38</v>
      </c>
      <c r="AS9" s="2">
        <v>16</v>
      </c>
      <c r="AT9" s="2">
        <v>18</v>
      </c>
      <c r="AU9" s="7">
        <v>19</v>
      </c>
      <c r="AV9" s="2">
        <v>22</v>
      </c>
      <c r="AW9" s="2">
        <v>15</v>
      </c>
      <c r="AX9" s="2">
        <v>19</v>
      </c>
      <c r="AY9" s="7">
        <v>14</v>
      </c>
      <c r="AZ9" s="2">
        <v>17</v>
      </c>
      <c r="BA9" s="2">
        <v>10</v>
      </c>
      <c r="BB9" s="2">
        <v>19</v>
      </c>
      <c r="BC9" s="7">
        <v>11</v>
      </c>
      <c r="BD9" s="2">
        <f>36-BC9</f>
        <v>25</v>
      </c>
      <c r="BE9" s="2">
        <v>18</v>
      </c>
      <c r="BF9" s="2">
        <v>38</v>
      </c>
      <c r="BG9" s="7">
        <v>20</v>
      </c>
      <c r="BH9" s="2">
        <f>43-BG9</f>
        <v>23</v>
      </c>
      <c r="BI9" s="2">
        <v>22</v>
      </c>
      <c r="BJ9" s="2">
        <v>34</v>
      </c>
      <c r="BK9" s="7">
        <v>25</v>
      </c>
      <c r="BL9" s="2">
        <v>34</v>
      </c>
      <c r="BM9" s="2">
        <v>27</v>
      </c>
      <c r="BN9" s="2">
        <v>22</v>
      </c>
      <c r="BO9" s="7">
        <v>17</v>
      </c>
      <c r="BP9" s="2">
        <v>23</v>
      </c>
      <c r="BQ9" s="2">
        <v>14</v>
      </c>
      <c r="BR9" s="2">
        <v>26</v>
      </c>
      <c r="BS9" s="7">
        <v>26</v>
      </c>
      <c r="BT9" s="2">
        <v>28</v>
      </c>
      <c r="BU9" s="2">
        <v>24</v>
      </c>
      <c r="BV9" s="2">
        <v>24</v>
      </c>
      <c r="BW9" s="7">
        <v>25</v>
      </c>
      <c r="BX9" s="2">
        <v>23</v>
      </c>
      <c r="BY9" s="2">
        <v>18</v>
      </c>
      <c r="BZ9" s="2">
        <v>16</v>
      </c>
      <c r="CA9" s="7">
        <v>19</v>
      </c>
      <c r="CB9" s="2">
        <v>16</v>
      </c>
      <c r="CC9" s="2">
        <v>10</v>
      </c>
      <c r="CD9" s="2">
        <v>13</v>
      </c>
      <c r="CE9" s="7">
        <v>4</v>
      </c>
      <c r="CF9" s="2">
        <v>1</v>
      </c>
      <c r="CG9" s="2">
        <v>7</v>
      </c>
      <c r="CH9" s="2">
        <v>17</v>
      </c>
      <c r="CI9" s="7">
        <v>19</v>
      </c>
      <c r="CJ9" s="2">
        <v>25</v>
      </c>
      <c r="CK9" s="2">
        <v>24</v>
      </c>
      <c r="CL9" s="2">
        <v>12</v>
      </c>
      <c r="CM9" s="7">
        <v>31</v>
      </c>
      <c r="CN9" s="2">
        <v>20</v>
      </c>
      <c r="CO9" s="2">
        <v>21</v>
      </c>
      <c r="CP9" s="2">
        <v>17</v>
      </c>
    </row>
    <row r="10" spans="1:94" x14ac:dyDescent="0.45">
      <c r="B10" s="32" t="s">
        <v>7</v>
      </c>
      <c r="C10" s="76" t="s">
        <v>39</v>
      </c>
      <c r="D10" s="76" t="s">
        <v>39</v>
      </c>
      <c r="E10" s="76" t="s">
        <v>39</v>
      </c>
      <c r="F10" s="76" t="s">
        <v>39</v>
      </c>
      <c r="G10" s="78" t="s">
        <v>39</v>
      </c>
      <c r="H10" s="76" t="s">
        <v>39</v>
      </c>
      <c r="I10" s="76" t="s">
        <v>39</v>
      </c>
      <c r="J10" s="76" t="s">
        <v>39</v>
      </c>
      <c r="K10" s="78" t="s">
        <v>39</v>
      </c>
      <c r="L10" s="76" t="s">
        <v>39</v>
      </c>
      <c r="M10" s="76" t="s">
        <v>39</v>
      </c>
      <c r="N10" s="76" t="s">
        <v>39</v>
      </c>
      <c r="O10" s="78" t="s">
        <v>39</v>
      </c>
      <c r="P10" s="76" t="s">
        <v>39</v>
      </c>
      <c r="Q10" s="76" t="s">
        <v>39</v>
      </c>
      <c r="R10" s="76" t="s">
        <v>39</v>
      </c>
      <c r="S10" s="78" t="s">
        <v>39</v>
      </c>
      <c r="T10" s="76" t="s">
        <v>39</v>
      </c>
      <c r="U10" s="76" t="s">
        <v>39</v>
      </c>
      <c r="V10" s="76" t="s">
        <v>39</v>
      </c>
      <c r="W10" s="78" t="s">
        <v>39</v>
      </c>
      <c r="X10" s="76" t="s">
        <v>39</v>
      </c>
      <c r="Y10" s="76" t="s">
        <v>39</v>
      </c>
      <c r="Z10" s="76" t="s">
        <v>39</v>
      </c>
      <c r="AA10" s="78" t="s">
        <v>39</v>
      </c>
      <c r="AB10" s="76" t="s">
        <v>39</v>
      </c>
      <c r="AC10" s="76" t="s">
        <v>39</v>
      </c>
      <c r="AD10" s="76" t="s">
        <v>39</v>
      </c>
      <c r="AE10" s="78" t="s">
        <v>39</v>
      </c>
      <c r="AF10" s="76" t="s">
        <v>39</v>
      </c>
      <c r="AG10" s="76" t="s">
        <v>39</v>
      </c>
      <c r="AH10" s="76" t="s">
        <v>39</v>
      </c>
      <c r="AI10" s="78" t="s">
        <v>39</v>
      </c>
      <c r="AJ10" s="76" t="s">
        <v>39</v>
      </c>
      <c r="AK10" s="76" t="s">
        <v>39</v>
      </c>
      <c r="AL10" s="76" t="s">
        <v>39</v>
      </c>
      <c r="AM10" s="78" t="s">
        <v>39</v>
      </c>
      <c r="AN10" s="76" t="s">
        <v>39</v>
      </c>
      <c r="AO10" s="76" t="s">
        <v>39</v>
      </c>
      <c r="AP10" s="76" t="s">
        <v>39</v>
      </c>
      <c r="AQ10" s="88">
        <v>0.158</v>
      </c>
      <c r="AR10" s="15">
        <v>0.18</v>
      </c>
      <c r="AS10" s="15">
        <v>0.115</v>
      </c>
      <c r="AT10" s="15">
        <v>0.13100000000000001</v>
      </c>
      <c r="AU10" s="88">
        <v>0.14699999999999999</v>
      </c>
      <c r="AV10" s="15">
        <v>0.17399999999999999</v>
      </c>
      <c r="AW10" s="15">
        <v>0.12</v>
      </c>
      <c r="AX10" s="15">
        <v>0.14399999999999999</v>
      </c>
      <c r="AY10" s="88">
        <v>0.113</v>
      </c>
      <c r="AZ10" s="15">
        <v>0.128</v>
      </c>
      <c r="BA10" s="15">
        <v>7.5999999999999998E-2</v>
      </c>
      <c r="BB10" s="15">
        <v>0.13300000000000001</v>
      </c>
      <c r="BC10" s="88">
        <v>7.6999999999999999E-2</v>
      </c>
      <c r="BD10" s="15">
        <f>+BD9/BD8</f>
        <v>0.16233766233766234</v>
      </c>
      <c r="BE10" s="15">
        <v>0.11700000000000001</v>
      </c>
      <c r="BF10" s="15">
        <v>0.224</v>
      </c>
      <c r="BG10" s="88">
        <v>0.121</v>
      </c>
      <c r="BH10" s="15">
        <f>+BH9/BH8</f>
        <v>0.13450292397660818</v>
      </c>
      <c r="BI10" s="15">
        <v>0.123</v>
      </c>
      <c r="BJ10" s="15">
        <v>0.17699999999999999</v>
      </c>
      <c r="BK10" s="88">
        <v>0.13200000000000001</v>
      </c>
      <c r="BL10" s="15">
        <v>0.17199999999999999</v>
      </c>
      <c r="BM10" s="15">
        <v>0.14299999999999999</v>
      </c>
      <c r="BN10" s="15">
        <v>0.12</v>
      </c>
      <c r="BO10" s="88">
        <v>9.6000000000000002E-2</v>
      </c>
      <c r="BP10" s="15">
        <v>0.13</v>
      </c>
      <c r="BQ10" s="15">
        <v>8.1000000000000003E-2</v>
      </c>
      <c r="BR10" s="15">
        <v>0.14399999999999999</v>
      </c>
      <c r="BS10" s="88">
        <v>0.14399999999999999</v>
      </c>
      <c r="BT10" s="15">
        <v>0.153</v>
      </c>
      <c r="BU10" s="15">
        <v>0.14000000000000001</v>
      </c>
      <c r="BV10" s="15">
        <v>0.13800000000000001</v>
      </c>
      <c r="BW10" s="88">
        <v>0.14799999999999999</v>
      </c>
      <c r="BX10" s="15">
        <v>0.13400000000000001</v>
      </c>
      <c r="BY10" s="15">
        <v>0.108</v>
      </c>
      <c r="BZ10" s="15">
        <v>0.106</v>
      </c>
      <c r="CA10" s="88">
        <v>0.125</v>
      </c>
      <c r="CB10" s="15">
        <v>0.112</v>
      </c>
      <c r="CC10" s="15">
        <v>7.2999999999999995E-2</v>
      </c>
      <c r="CD10" s="15">
        <v>0.10100000000000001</v>
      </c>
      <c r="CE10" s="88">
        <v>4.5999999999999999E-2</v>
      </c>
      <c r="CF10" s="15">
        <v>1.7999999999999999E-2</v>
      </c>
      <c r="CG10" s="15">
        <v>6.8000000000000005E-2</v>
      </c>
      <c r="CH10" s="15">
        <v>0.13500000000000001</v>
      </c>
      <c r="CI10" s="88">
        <v>0.14299999999999999</v>
      </c>
      <c r="CJ10" s="15">
        <v>0.17799999999999999</v>
      </c>
      <c r="CK10" s="15">
        <v>0.16300000000000001</v>
      </c>
      <c r="CL10" s="15">
        <v>8.7999999999999995E-2</v>
      </c>
      <c r="CM10" s="88">
        <v>0.19400000000000001</v>
      </c>
      <c r="CN10" s="15">
        <v>0.122</v>
      </c>
      <c r="CO10" s="15">
        <v>0.14099999999999999</v>
      </c>
      <c r="CP10" s="15">
        <v>0.124</v>
      </c>
    </row>
    <row r="11" spans="1:94" x14ac:dyDescent="0.45">
      <c r="B11" s="28" t="s">
        <v>85</v>
      </c>
      <c r="C11" s="39"/>
      <c r="D11" s="39"/>
      <c r="E11" s="39"/>
      <c r="F11" s="39"/>
      <c r="G11" s="77"/>
      <c r="H11" s="39"/>
      <c r="I11" s="39"/>
      <c r="J11" s="39"/>
      <c r="K11" s="77"/>
      <c r="L11" s="39"/>
      <c r="M11" s="39"/>
      <c r="N11" s="39"/>
      <c r="O11" s="77"/>
      <c r="P11" s="39"/>
      <c r="Q11" s="39"/>
      <c r="R11" s="39"/>
      <c r="S11" s="77"/>
      <c r="T11" s="39"/>
      <c r="U11" s="39"/>
      <c r="V11" s="39"/>
      <c r="W11" s="7"/>
      <c r="X11" s="2"/>
      <c r="Y11" s="2"/>
      <c r="Z11" s="2"/>
      <c r="AA11" s="7"/>
      <c r="AB11" s="2"/>
      <c r="AC11" s="2"/>
      <c r="AD11" s="2"/>
      <c r="AE11" s="7"/>
      <c r="AF11" s="2"/>
      <c r="AG11" s="2"/>
      <c r="AH11" s="2"/>
      <c r="AI11" s="7"/>
      <c r="AJ11" s="2"/>
      <c r="AK11" s="2"/>
      <c r="AL11" s="2"/>
      <c r="AM11" s="7"/>
      <c r="AN11" s="2"/>
      <c r="AO11" s="2"/>
      <c r="AP11" s="2"/>
      <c r="AQ11" s="7"/>
      <c r="AR11" s="2"/>
      <c r="AS11" s="2"/>
      <c r="AT11" s="2"/>
      <c r="AU11" s="7"/>
      <c r="AV11" s="2"/>
      <c r="AW11" s="2"/>
      <c r="AX11" s="2"/>
      <c r="AY11" s="7"/>
      <c r="AZ11" s="2"/>
      <c r="BA11" s="2"/>
      <c r="BB11" s="2"/>
      <c r="BC11" s="7"/>
      <c r="BD11" s="2"/>
      <c r="BE11" s="2"/>
      <c r="BF11" s="2"/>
      <c r="BG11" s="7"/>
      <c r="BH11" s="2"/>
      <c r="BI11" s="2"/>
      <c r="BJ11" s="2"/>
      <c r="BK11" s="7"/>
      <c r="BL11" s="2"/>
      <c r="BM11" s="2"/>
      <c r="BN11" s="2"/>
      <c r="BO11" s="7"/>
      <c r="BP11" s="2"/>
      <c r="BQ11" s="2"/>
      <c r="BR11" s="2"/>
      <c r="BS11" s="7"/>
      <c r="BT11" s="2"/>
      <c r="BU11" s="2"/>
      <c r="BV11" s="2"/>
      <c r="BW11" s="90"/>
      <c r="BX11" s="2"/>
      <c r="BY11" s="2"/>
      <c r="BZ11" s="2"/>
      <c r="CA11" s="7"/>
      <c r="CB11" s="2"/>
      <c r="CC11" s="2"/>
      <c r="CD11" s="2"/>
      <c r="CE11" s="7"/>
      <c r="CF11" s="2"/>
      <c r="CG11" s="2"/>
      <c r="CH11" s="2"/>
      <c r="CI11" s="7"/>
      <c r="CJ11" s="2"/>
      <c r="CK11" s="2"/>
      <c r="CL11" s="2"/>
      <c r="CM11" s="7"/>
      <c r="CN11" s="2"/>
      <c r="CO11" s="2"/>
      <c r="CP11" s="2"/>
    </row>
    <row r="12" spans="1:94" x14ac:dyDescent="0.45">
      <c r="B12" s="33" t="s">
        <v>86</v>
      </c>
      <c r="C12" s="39" t="s">
        <v>39</v>
      </c>
      <c r="D12" s="39" t="s">
        <v>39</v>
      </c>
      <c r="E12" s="39" t="s">
        <v>39</v>
      </c>
      <c r="F12" s="39" t="s">
        <v>39</v>
      </c>
      <c r="G12" s="77" t="s">
        <v>39</v>
      </c>
      <c r="H12" s="39" t="s">
        <v>39</v>
      </c>
      <c r="I12" s="39" t="s">
        <v>39</v>
      </c>
      <c r="J12" s="39" t="s">
        <v>39</v>
      </c>
      <c r="K12" s="77" t="s">
        <v>39</v>
      </c>
      <c r="L12" s="39" t="s">
        <v>39</v>
      </c>
      <c r="M12" s="39" t="s">
        <v>39</v>
      </c>
      <c r="N12" s="39" t="s">
        <v>39</v>
      </c>
      <c r="O12" s="77" t="s">
        <v>39</v>
      </c>
      <c r="P12" s="39" t="s">
        <v>39</v>
      </c>
      <c r="Q12" s="39" t="s">
        <v>39</v>
      </c>
      <c r="R12" s="39" t="s">
        <v>39</v>
      </c>
      <c r="S12" s="77" t="s">
        <v>39</v>
      </c>
      <c r="T12" s="39" t="s">
        <v>39</v>
      </c>
      <c r="U12" s="39" t="s">
        <v>39</v>
      </c>
      <c r="V12" s="39" t="s">
        <v>39</v>
      </c>
      <c r="W12" s="7">
        <v>116</v>
      </c>
      <c r="X12" s="2">
        <v>127</v>
      </c>
      <c r="Y12" s="2">
        <v>128</v>
      </c>
      <c r="Z12" s="2">
        <v>140</v>
      </c>
      <c r="AA12" s="7">
        <v>131</v>
      </c>
      <c r="AB12" s="2">
        <v>136</v>
      </c>
      <c r="AC12" s="2">
        <v>136</v>
      </c>
      <c r="AD12" s="2">
        <v>134</v>
      </c>
      <c r="AE12" s="7">
        <v>145</v>
      </c>
      <c r="AF12" s="2">
        <v>153</v>
      </c>
      <c r="AG12" s="2">
        <v>151</v>
      </c>
      <c r="AH12" s="2">
        <v>141</v>
      </c>
      <c r="AI12" s="7">
        <v>137</v>
      </c>
      <c r="AJ12" s="2">
        <v>138</v>
      </c>
      <c r="AK12" s="2">
        <v>105</v>
      </c>
      <c r="AL12" s="2">
        <v>72</v>
      </c>
      <c r="AM12" s="7">
        <v>92</v>
      </c>
      <c r="AN12" s="2">
        <v>103</v>
      </c>
      <c r="AO12" s="2">
        <v>106</v>
      </c>
      <c r="AP12" s="2">
        <v>113</v>
      </c>
      <c r="AQ12" s="7">
        <v>120</v>
      </c>
      <c r="AR12" s="2">
        <v>113</v>
      </c>
      <c r="AS12" s="2">
        <v>107</v>
      </c>
      <c r="AT12" s="2">
        <v>107</v>
      </c>
      <c r="AU12" s="7">
        <v>108</v>
      </c>
      <c r="AV12" s="2">
        <v>102</v>
      </c>
      <c r="AW12" s="2">
        <v>101</v>
      </c>
      <c r="AX12" s="2">
        <v>99</v>
      </c>
      <c r="AY12" s="7">
        <v>100</v>
      </c>
      <c r="AZ12" s="2">
        <v>104</v>
      </c>
      <c r="BA12" s="2">
        <v>105</v>
      </c>
      <c r="BB12" s="2">
        <v>115</v>
      </c>
      <c r="BC12" s="7">
        <v>117</v>
      </c>
      <c r="BD12" s="2">
        <v>120</v>
      </c>
      <c r="BE12" s="2">
        <v>130</v>
      </c>
      <c r="BF12" s="2">
        <v>135</v>
      </c>
      <c r="BG12" s="7">
        <v>135</v>
      </c>
      <c r="BH12" s="2">
        <v>136</v>
      </c>
      <c r="BI12" s="2">
        <v>147</v>
      </c>
      <c r="BJ12" s="2">
        <v>157</v>
      </c>
      <c r="BK12" s="7">
        <v>157</v>
      </c>
      <c r="BL12" s="2">
        <v>163</v>
      </c>
      <c r="BM12" s="2">
        <v>156</v>
      </c>
      <c r="BN12" s="2">
        <v>156</v>
      </c>
      <c r="BO12" s="7">
        <v>150</v>
      </c>
      <c r="BP12" s="2">
        <v>143</v>
      </c>
      <c r="BQ12" s="2">
        <v>148</v>
      </c>
      <c r="BR12" s="2">
        <v>154</v>
      </c>
      <c r="BS12" s="7">
        <v>152</v>
      </c>
      <c r="BT12" s="2">
        <v>155</v>
      </c>
      <c r="BU12" s="2">
        <v>146</v>
      </c>
      <c r="BV12" s="2">
        <v>145</v>
      </c>
      <c r="BW12" s="7">
        <v>244</v>
      </c>
      <c r="BX12" s="2">
        <v>142</v>
      </c>
      <c r="BY12" s="2">
        <v>140</v>
      </c>
      <c r="BZ12" s="2">
        <v>130</v>
      </c>
      <c r="CA12" s="7">
        <v>108</v>
      </c>
      <c r="CB12" s="2">
        <f>208-CA12</f>
        <v>100</v>
      </c>
      <c r="CC12" s="2">
        <f>309-CA12-CB12</f>
        <v>101</v>
      </c>
      <c r="CD12" s="2">
        <f>401-CB12-CA12-CC12</f>
        <v>92</v>
      </c>
      <c r="CE12" s="7">
        <v>67</v>
      </c>
      <c r="CF12" s="2">
        <f>139-CE12</f>
        <v>72</v>
      </c>
      <c r="CG12" s="2">
        <f>217-CF12-CE12</f>
        <v>78</v>
      </c>
      <c r="CH12" s="2">
        <f>304-CE12-CF12-CG12</f>
        <v>87</v>
      </c>
      <c r="CI12" s="7">
        <v>91</v>
      </c>
      <c r="CJ12" s="2">
        <f>188-CI12</f>
        <v>97</v>
      </c>
      <c r="CK12" s="2">
        <f>289-CI12-CJ12</f>
        <v>101</v>
      </c>
      <c r="CL12" s="2">
        <f>383-CI12-CJ12-CK12</f>
        <v>94</v>
      </c>
      <c r="CM12" s="7">
        <v>105</v>
      </c>
      <c r="CN12" s="2">
        <f>208-CM12</f>
        <v>103</v>
      </c>
      <c r="CO12" s="2">
        <f>301-CM12-CN12</f>
        <v>93</v>
      </c>
      <c r="CP12" s="2">
        <f>387-CM12-CN12-CO12</f>
        <v>86</v>
      </c>
    </row>
    <row r="13" spans="1:94" x14ac:dyDescent="0.45">
      <c r="B13" s="33" t="s">
        <v>88</v>
      </c>
      <c r="C13" s="39" t="s">
        <v>39</v>
      </c>
      <c r="D13" s="39" t="s">
        <v>39</v>
      </c>
      <c r="E13" s="39" t="s">
        <v>39</v>
      </c>
      <c r="F13" s="39" t="s">
        <v>39</v>
      </c>
      <c r="G13" s="77" t="s">
        <v>39</v>
      </c>
      <c r="H13" s="39" t="s">
        <v>39</v>
      </c>
      <c r="I13" s="39" t="s">
        <v>39</v>
      </c>
      <c r="J13" s="39" t="s">
        <v>39</v>
      </c>
      <c r="K13" s="77" t="s">
        <v>39</v>
      </c>
      <c r="L13" s="39" t="s">
        <v>39</v>
      </c>
      <c r="M13" s="39" t="s">
        <v>39</v>
      </c>
      <c r="N13" s="39" t="s">
        <v>39</v>
      </c>
      <c r="O13" s="77" t="s">
        <v>39</v>
      </c>
      <c r="P13" s="39" t="s">
        <v>39</v>
      </c>
      <c r="Q13" s="39" t="s">
        <v>39</v>
      </c>
      <c r="R13" s="39" t="s">
        <v>39</v>
      </c>
      <c r="S13" s="77" t="s">
        <v>39</v>
      </c>
      <c r="T13" s="39" t="s">
        <v>39</v>
      </c>
      <c r="U13" s="39" t="s">
        <v>39</v>
      </c>
      <c r="V13" s="39" t="s">
        <v>39</v>
      </c>
      <c r="W13" s="7">
        <v>42</v>
      </c>
      <c r="X13" s="2">
        <v>43</v>
      </c>
      <c r="Y13" s="2">
        <v>41</v>
      </c>
      <c r="Z13" s="2">
        <v>46</v>
      </c>
      <c r="AA13" s="7">
        <v>45</v>
      </c>
      <c r="AB13" s="2">
        <v>47</v>
      </c>
      <c r="AC13" s="2">
        <v>44</v>
      </c>
      <c r="AD13" s="2">
        <v>46</v>
      </c>
      <c r="AE13" s="7">
        <v>44</v>
      </c>
      <c r="AF13" s="2">
        <v>43</v>
      </c>
      <c r="AG13" s="2">
        <v>43</v>
      </c>
      <c r="AH13" s="2">
        <v>37</v>
      </c>
      <c r="AI13" s="7">
        <v>39</v>
      </c>
      <c r="AJ13" s="2">
        <v>38</v>
      </c>
      <c r="AK13" s="2">
        <v>31</v>
      </c>
      <c r="AL13" s="2">
        <v>26</v>
      </c>
      <c r="AM13" s="7">
        <v>26</v>
      </c>
      <c r="AN13" s="2">
        <v>27</v>
      </c>
      <c r="AO13" s="2">
        <v>28</v>
      </c>
      <c r="AP13" s="2">
        <v>31</v>
      </c>
      <c r="AQ13" s="7">
        <v>33</v>
      </c>
      <c r="AR13" s="2">
        <v>32</v>
      </c>
      <c r="AS13" s="2">
        <v>31</v>
      </c>
      <c r="AT13" s="2">
        <v>32</v>
      </c>
      <c r="AU13" s="7">
        <v>28</v>
      </c>
      <c r="AV13" s="2">
        <v>27</v>
      </c>
      <c r="AW13" s="2">
        <v>27</v>
      </c>
      <c r="AX13" s="2">
        <v>33</v>
      </c>
      <c r="AY13" s="7">
        <v>30</v>
      </c>
      <c r="AZ13" s="2">
        <v>28</v>
      </c>
      <c r="BA13" s="2">
        <v>28</v>
      </c>
      <c r="BB13" s="2">
        <v>30</v>
      </c>
      <c r="BC13" s="7">
        <v>31</v>
      </c>
      <c r="BD13" s="2">
        <v>33</v>
      </c>
      <c r="BE13" s="2">
        <v>32</v>
      </c>
      <c r="BF13" s="2">
        <v>33</v>
      </c>
      <c r="BG13" s="7">
        <v>34</v>
      </c>
      <c r="BH13" s="2">
        <v>34</v>
      </c>
      <c r="BI13" s="2">
        <v>36</v>
      </c>
      <c r="BJ13" s="2">
        <v>35</v>
      </c>
      <c r="BK13" s="7">
        <v>35</v>
      </c>
      <c r="BL13" s="2">
        <v>55</v>
      </c>
      <c r="BM13" s="2">
        <v>34</v>
      </c>
      <c r="BN13" s="2">
        <v>33</v>
      </c>
      <c r="BO13" s="7">
        <v>31</v>
      </c>
      <c r="BP13" s="2">
        <v>33</v>
      </c>
      <c r="BQ13" s="2">
        <v>27</v>
      </c>
      <c r="BR13" s="2">
        <v>28</v>
      </c>
      <c r="BS13" s="7">
        <v>30</v>
      </c>
      <c r="BT13" s="2">
        <v>31</v>
      </c>
      <c r="BU13" s="2">
        <v>31</v>
      </c>
      <c r="BV13" s="2">
        <v>31</v>
      </c>
      <c r="BW13" s="7">
        <v>28</v>
      </c>
      <c r="BX13" s="2">
        <v>29</v>
      </c>
      <c r="BY13" s="2">
        <v>30</v>
      </c>
      <c r="BZ13" s="2">
        <v>25</v>
      </c>
      <c r="CA13" s="7">
        <v>26</v>
      </c>
      <c r="CB13" s="2">
        <f>53-CA13</f>
        <v>27</v>
      </c>
      <c r="CC13" s="2">
        <f>80-CA13-CB13</f>
        <v>27</v>
      </c>
      <c r="CD13" s="2">
        <f>106-CB13-CA13-CC13</f>
        <v>26</v>
      </c>
      <c r="CE13" s="7">
        <v>20</v>
      </c>
      <c r="CF13" s="2">
        <f>39-CE13</f>
        <v>19</v>
      </c>
      <c r="CG13" s="2">
        <f>63-CF13-CE13</f>
        <v>24</v>
      </c>
      <c r="CH13" s="2">
        <f>88-CE13-CF13-CG13</f>
        <v>25</v>
      </c>
      <c r="CI13" s="7">
        <v>24</v>
      </c>
      <c r="CJ13" s="2">
        <f>51-CI13</f>
        <v>27</v>
      </c>
      <c r="CK13" s="2">
        <f>77-CI13-CJ13</f>
        <v>26</v>
      </c>
      <c r="CL13" s="2">
        <f>104-CI13-CJ13-CK13</f>
        <v>27</v>
      </c>
      <c r="CM13" s="7">
        <v>29</v>
      </c>
      <c r="CN13" s="2">
        <f>66-CM13</f>
        <v>37</v>
      </c>
      <c r="CO13" s="2">
        <f>100-CM13-CN13</f>
        <v>34</v>
      </c>
      <c r="CP13" s="2">
        <f>129-CM13-CN13-CO13</f>
        <v>29</v>
      </c>
    </row>
    <row r="14" spans="1:94" x14ac:dyDescent="0.45">
      <c r="B14" s="62" t="s">
        <v>90</v>
      </c>
      <c r="C14" s="39" t="s">
        <v>39</v>
      </c>
      <c r="D14" s="39" t="s">
        <v>39</v>
      </c>
      <c r="E14" s="39" t="s">
        <v>39</v>
      </c>
      <c r="F14" s="39" t="s">
        <v>39</v>
      </c>
      <c r="G14" s="77" t="s">
        <v>39</v>
      </c>
      <c r="H14" s="39" t="s">
        <v>39</v>
      </c>
      <c r="I14" s="39" t="s">
        <v>39</v>
      </c>
      <c r="J14" s="39" t="s">
        <v>39</v>
      </c>
      <c r="K14" s="77" t="s">
        <v>39</v>
      </c>
      <c r="L14" s="39" t="s">
        <v>39</v>
      </c>
      <c r="M14" s="39" t="s">
        <v>39</v>
      </c>
      <c r="N14" s="39" t="s">
        <v>39</v>
      </c>
      <c r="O14" s="77" t="s">
        <v>39</v>
      </c>
      <c r="P14" s="39" t="s">
        <v>39</v>
      </c>
      <c r="Q14" s="39" t="s">
        <v>39</v>
      </c>
      <c r="R14" s="39" t="s">
        <v>39</v>
      </c>
      <c r="S14" s="77" t="s">
        <v>39</v>
      </c>
      <c r="T14" s="39" t="s">
        <v>39</v>
      </c>
      <c r="U14" s="39" t="s">
        <v>39</v>
      </c>
      <c r="V14" s="39" t="s">
        <v>39</v>
      </c>
      <c r="W14" s="77" t="s">
        <v>39</v>
      </c>
      <c r="X14" s="39" t="s">
        <v>39</v>
      </c>
      <c r="Y14" s="41" t="s">
        <v>39</v>
      </c>
      <c r="Z14" s="41" t="s">
        <v>39</v>
      </c>
      <c r="AA14" s="77" t="s">
        <v>39</v>
      </c>
      <c r="AB14" s="39" t="s">
        <v>39</v>
      </c>
      <c r="AC14" s="41" t="s">
        <v>39</v>
      </c>
      <c r="AD14" s="41" t="s">
        <v>39</v>
      </c>
      <c r="AE14" s="77" t="s">
        <v>39</v>
      </c>
      <c r="AF14" s="39" t="s">
        <v>39</v>
      </c>
      <c r="AG14" s="41" t="s">
        <v>39</v>
      </c>
      <c r="AH14" s="41" t="s">
        <v>39</v>
      </c>
      <c r="AI14" s="77" t="s">
        <v>39</v>
      </c>
      <c r="AJ14" s="39" t="s">
        <v>39</v>
      </c>
      <c r="AK14" s="41" t="s">
        <v>39</v>
      </c>
      <c r="AL14" s="41" t="s">
        <v>39</v>
      </c>
      <c r="AM14" s="77" t="s">
        <v>39</v>
      </c>
      <c r="AN14" s="39" t="s">
        <v>39</v>
      </c>
      <c r="AO14" s="41" t="s">
        <v>39</v>
      </c>
      <c r="AP14" s="41" t="s">
        <v>39</v>
      </c>
      <c r="AQ14" s="77" t="s">
        <v>39</v>
      </c>
      <c r="AR14" s="39" t="s">
        <v>39</v>
      </c>
      <c r="AS14" s="41" t="s">
        <v>39</v>
      </c>
      <c r="AT14" s="41" t="s">
        <v>39</v>
      </c>
      <c r="AU14" s="77" t="s">
        <v>39</v>
      </c>
      <c r="AV14" s="39" t="s">
        <v>39</v>
      </c>
      <c r="AW14" s="41" t="s">
        <v>39</v>
      </c>
      <c r="AX14" s="41" t="s">
        <v>39</v>
      </c>
      <c r="AY14" s="77" t="s">
        <v>39</v>
      </c>
      <c r="AZ14" s="39" t="s">
        <v>39</v>
      </c>
      <c r="BA14" s="41" t="s">
        <v>39</v>
      </c>
      <c r="BB14" s="41" t="s">
        <v>39</v>
      </c>
      <c r="BC14" s="77" t="s">
        <v>39</v>
      </c>
      <c r="BD14" s="39" t="s">
        <v>39</v>
      </c>
      <c r="BE14" s="41" t="s">
        <v>39</v>
      </c>
      <c r="BF14" s="41" t="s">
        <v>39</v>
      </c>
      <c r="BG14" s="77" t="s">
        <v>39</v>
      </c>
      <c r="BH14" s="39" t="s">
        <v>39</v>
      </c>
      <c r="BI14" s="41" t="s">
        <v>39</v>
      </c>
      <c r="BJ14" s="41" t="s">
        <v>39</v>
      </c>
      <c r="BK14" s="77" t="s">
        <v>39</v>
      </c>
      <c r="BL14" s="39" t="s">
        <v>39</v>
      </c>
      <c r="BM14" s="41" t="s">
        <v>39</v>
      </c>
      <c r="BN14" s="41" t="s">
        <v>39</v>
      </c>
      <c r="BO14" s="77" t="s">
        <v>39</v>
      </c>
      <c r="BP14" s="39" t="s">
        <v>39</v>
      </c>
      <c r="BQ14" s="41" t="s">
        <v>39</v>
      </c>
      <c r="BR14" s="41" t="s">
        <v>39</v>
      </c>
      <c r="BS14" s="77" t="s">
        <v>39</v>
      </c>
      <c r="BT14" s="39" t="s">
        <v>39</v>
      </c>
      <c r="BU14" s="41" t="s">
        <v>39</v>
      </c>
      <c r="BV14" s="41" t="s">
        <v>39</v>
      </c>
      <c r="BW14" s="77" t="s">
        <v>39</v>
      </c>
      <c r="BX14" s="39" t="s">
        <v>39</v>
      </c>
      <c r="BY14" s="41" t="s">
        <v>39</v>
      </c>
      <c r="BZ14" s="41" t="s">
        <v>39</v>
      </c>
      <c r="CA14" s="7">
        <v>20</v>
      </c>
      <c r="CB14" s="2">
        <f>42-CA14</f>
        <v>22</v>
      </c>
      <c r="CC14" s="40">
        <f>57-CA14-CB14</f>
        <v>15</v>
      </c>
      <c r="CD14" s="40">
        <f>78-CB14-CA14-CC14</f>
        <v>21</v>
      </c>
      <c r="CE14" s="7">
        <v>17</v>
      </c>
      <c r="CF14" s="2">
        <f>30-CE14</f>
        <v>13</v>
      </c>
      <c r="CG14" s="40">
        <f>46-CF14-CE14</f>
        <v>16</v>
      </c>
      <c r="CH14" s="40">
        <f>64-CE14-CF14-CG14</f>
        <v>18</v>
      </c>
      <c r="CI14" s="7">
        <v>19</v>
      </c>
      <c r="CJ14" s="40">
        <f>39-CI14</f>
        <v>20</v>
      </c>
      <c r="CK14" s="40">
        <f>64-CI14-CJ14</f>
        <v>25</v>
      </c>
      <c r="CL14" s="40">
        <f>90-CI14-CJ14-CK14</f>
        <v>26</v>
      </c>
      <c r="CM14" s="89">
        <v>25</v>
      </c>
      <c r="CN14" s="40">
        <f>50-CM14</f>
        <v>25</v>
      </c>
      <c r="CO14" s="40">
        <f>73-CM14-CN14</f>
        <v>23</v>
      </c>
      <c r="CP14" s="40">
        <f>100-CM14-CN14-CO14</f>
        <v>27</v>
      </c>
    </row>
    <row r="15" spans="1:94" x14ac:dyDescent="0.45">
      <c r="B15" s="63" t="s">
        <v>40</v>
      </c>
      <c r="C15" s="46"/>
      <c r="D15" s="46"/>
      <c r="E15" s="46"/>
      <c r="F15" s="46"/>
      <c r="G15" s="79"/>
      <c r="H15" s="46"/>
      <c r="I15" s="46"/>
      <c r="J15" s="46"/>
      <c r="K15" s="79"/>
      <c r="L15" s="46"/>
      <c r="M15" s="46"/>
      <c r="N15" s="46"/>
      <c r="O15" s="79"/>
      <c r="P15" s="46"/>
      <c r="Q15" s="46"/>
      <c r="R15" s="46"/>
      <c r="S15" s="79"/>
      <c r="T15" s="46"/>
      <c r="U15" s="46"/>
      <c r="V15" s="46"/>
      <c r="W15" s="79"/>
      <c r="X15" s="4"/>
      <c r="Y15" s="2"/>
      <c r="Z15" s="2"/>
      <c r="AA15" s="79"/>
      <c r="AB15" s="4"/>
      <c r="AC15" s="2"/>
      <c r="AD15" s="2"/>
      <c r="AE15" s="79"/>
      <c r="AF15" s="4"/>
      <c r="AG15" s="2"/>
      <c r="AH15" s="2"/>
      <c r="AI15" s="79"/>
      <c r="AJ15" s="4"/>
      <c r="AK15" s="2"/>
      <c r="AL15" s="2"/>
      <c r="AM15" s="79"/>
      <c r="AN15" s="4"/>
      <c r="AO15" s="2"/>
      <c r="AP15" s="2"/>
      <c r="AQ15" s="79"/>
      <c r="AR15" s="4"/>
      <c r="AS15" s="2"/>
      <c r="AT15" s="2"/>
      <c r="AU15" s="79"/>
      <c r="AV15" s="4"/>
      <c r="AW15" s="2"/>
      <c r="AX15" s="2"/>
      <c r="AY15" s="79"/>
      <c r="AZ15" s="4"/>
      <c r="BA15" s="2"/>
      <c r="BB15" s="2"/>
      <c r="BC15" s="79"/>
      <c r="BD15" s="4"/>
      <c r="BE15" s="2"/>
      <c r="BF15" s="2"/>
      <c r="BG15" s="79"/>
      <c r="BH15" s="4"/>
      <c r="BI15" s="2"/>
      <c r="BJ15" s="2"/>
      <c r="BK15" s="79"/>
      <c r="BL15" s="4"/>
      <c r="BM15" s="2"/>
      <c r="BN15" s="2"/>
      <c r="BO15" s="79"/>
      <c r="BP15" s="4"/>
      <c r="BQ15" s="2"/>
      <c r="BR15" s="2"/>
      <c r="BS15" s="6"/>
      <c r="BT15" s="4"/>
      <c r="BU15" s="2"/>
      <c r="BV15" s="2"/>
      <c r="BW15" s="6"/>
      <c r="BX15" s="4"/>
      <c r="BY15" s="2"/>
      <c r="BZ15" s="2"/>
      <c r="CA15" s="6"/>
      <c r="CB15" s="4"/>
      <c r="CC15" s="2"/>
      <c r="CD15" s="2"/>
      <c r="CE15" s="6"/>
      <c r="CF15" s="4"/>
      <c r="CG15" s="2"/>
      <c r="CH15" s="2"/>
      <c r="CI15" s="6"/>
      <c r="CK15" s="2"/>
      <c r="CL15" s="2"/>
      <c r="CM15" s="6"/>
      <c r="CN15" s="2"/>
      <c r="CO15" s="2"/>
      <c r="CP15" s="2"/>
    </row>
    <row r="16" spans="1:94" x14ac:dyDescent="0.45">
      <c r="B16" s="64" t="s">
        <v>4</v>
      </c>
      <c r="C16" s="39" t="s">
        <v>39</v>
      </c>
      <c r="D16" s="39" t="s">
        <v>39</v>
      </c>
      <c r="E16" s="39" t="s">
        <v>39</v>
      </c>
      <c r="F16" s="39" t="s">
        <v>39</v>
      </c>
      <c r="G16" s="77" t="s">
        <v>39</v>
      </c>
      <c r="H16" s="39" t="s">
        <v>39</v>
      </c>
      <c r="I16" s="39" t="s">
        <v>39</v>
      </c>
      <c r="J16" s="39" t="s">
        <v>39</v>
      </c>
      <c r="K16" s="77" t="s">
        <v>39</v>
      </c>
      <c r="L16" s="39" t="s">
        <v>39</v>
      </c>
      <c r="M16" s="39" t="s">
        <v>39</v>
      </c>
      <c r="N16" s="39" t="s">
        <v>39</v>
      </c>
      <c r="O16" s="77" t="s">
        <v>39</v>
      </c>
      <c r="P16" s="39" t="s">
        <v>39</v>
      </c>
      <c r="Q16" s="39" t="s">
        <v>39</v>
      </c>
      <c r="R16" s="39" t="s">
        <v>39</v>
      </c>
      <c r="S16" s="77" t="s">
        <v>39</v>
      </c>
      <c r="T16" s="39" t="s">
        <v>39</v>
      </c>
      <c r="U16" s="39" t="s">
        <v>39</v>
      </c>
      <c r="V16" s="39" t="s">
        <v>39</v>
      </c>
      <c r="W16" s="77">
        <v>108</v>
      </c>
      <c r="X16" s="2">
        <v>134</v>
      </c>
      <c r="Y16" s="2">
        <v>139</v>
      </c>
      <c r="Z16" s="2">
        <v>191</v>
      </c>
      <c r="AA16" s="77">
        <v>152</v>
      </c>
      <c r="AB16" s="2">
        <v>187</v>
      </c>
      <c r="AC16" s="2">
        <v>200</v>
      </c>
      <c r="AD16" s="2">
        <v>206</v>
      </c>
      <c r="AE16" s="77">
        <v>161</v>
      </c>
      <c r="AF16" s="2">
        <v>176</v>
      </c>
      <c r="AG16" s="2">
        <v>164</v>
      </c>
      <c r="AH16" s="2">
        <v>181</v>
      </c>
      <c r="AI16" s="77">
        <v>149</v>
      </c>
      <c r="AJ16" s="2">
        <v>158</v>
      </c>
      <c r="AK16" s="2">
        <v>136</v>
      </c>
      <c r="AL16" s="2">
        <v>138</v>
      </c>
      <c r="AM16" s="77">
        <v>130</v>
      </c>
      <c r="AN16" s="2">
        <v>162</v>
      </c>
      <c r="AO16" s="2">
        <v>154</v>
      </c>
      <c r="AP16" s="2">
        <v>186</v>
      </c>
      <c r="AQ16" s="77">
        <v>181</v>
      </c>
      <c r="AR16" s="2">
        <v>215</v>
      </c>
      <c r="AS16" s="2">
        <v>219</v>
      </c>
      <c r="AT16" s="2">
        <v>229</v>
      </c>
      <c r="AU16" s="77">
        <v>214</v>
      </c>
      <c r="AV16" s="2">
        <v>255</v>
      </c>
      <c r="AW16" s="2">
        <v>222</v>
      </c>
      <c r="AX16" s="2">
        <v>251</v>
      </c>
      <c r="AY16" s="77">
        <v>219</v>
      </c>
      <c r="AZ16" s="2">
        <v>213</v>
      </c>
      <c r="BA16" s="2">
        <v>203</v>
      </c>
      <c r="BB16" s="2">
        <v>222</v>
      </c>
      <c r="BC16" s="77">
        <v>200</v>
      </c>
      <c r="BD16" s="2">
        <v>240</v>
      </c>
      <c r="BE16" s="2">
        <v>212</v>
      </c>
      <c r="BF16" s="2">
        <v>258</v>
      </c>
      <c r="BG16" s="77">
        <v>168</v>
      </c>
      <c r="BH16" s="2">
        <v>219</v>
      </c>
      <c r="BI16" s="2">
        <v>212</v>
      </c>
      <c r="BJ16" s="2">
        <v>240</v>
      </c>
      <c r="BK16" s="77">
        <v>212</v>
      </c>
      <c r="BL16" s="2">
        <v>266</v>
      </c>
      <c r="BM16" s="2">
        <v>262</v>
      </c>
      <c r="BN16" s="2">
        <v>245</v>
      </c>
      <c r="BO16" s="77">
        <v>212</v>
      </c>
      <c r="BP16" s="2">
        <v>240</v>
      </c>
      <c r="BQ16" s="2">
        <v>236</v>
      </c>
      <c r="BR16" s="2">
        <v>287</v>
      </c>
      <c r="BS16" s="7">
        <v>225</v>
      </c>
      <c r="BT16" s="2">
        <v>241</v>
      </c>
      <c r="BU16" s="2">
        <v>261</v>
      </c>
      <c r="BV16" s="2">
        <v>247</v>
      </c>
      <c r="BW16" s="7">
        <v>218</v>
      </c>
      <c r="BX16" s="2">
        <v>248</v>
      </c>
      <c r="BY16" s="2">
        <v>219</v>
      </c>
      <c r="BZ16" s="2">
        <v>260</v>
      </c>
      <c r="CA16" s="77" t="s">
        <v>39</v>
      </c>
      <c r="CB16" s="39" t="s">
        <v>39</v>
      </c>
      <c r="CC16" s="39" t="s">
        <v>39</v>
      </c>
      <c r="CD16" s="39" t="s">
        <v>39</v>
      </c>
      <c r="CE16" s="77" t="s">
        <v>39</v>
      </c>
      <c r="CF16" s="39" t="s">
        <v>39</v>
      </c>
      <c r="CG16" s="39" t="s">
        <v>39</v>
      </c>
      <c r="CH16" s="39" t="s">
        <v>39</v>
      </c>
      <c r="CI16" s="77" t="s">
        <v>39</v>
      </c>
      <c r="CJ16" s="39" t="s">
        <v>39</v>
      </c>
      <c r="CK16" s="39" t="s">
        <v>39</v>
      </c>
      <c r="CL16" s="39" t="s">
        <v>39</v>
      </c>
      <c r="CM16" s="77" t="s">
        <v>39</v>
      </c>
      <c r="CN16" s="39" t="s">
        <v>39</v>
      </c>
      <c r="CO16" s="39" t="s">
        <v>39</v>
      </c>
      <c r="CP16" s="39" t="s">
        <v>39</v>
      </c>
    </row>
    <row r="17" spans="1:94" x14ac:dyDescent="0.45">
      <c r="B17" s="64" t="s">
        <v>6</v>
      </c>
      <c r="C17" s="39" t="s">
        <v>39</v>
      </c>
      <c r="D17" s="39" t="s">
        <v>39</v>
      </c>
      <c r="E17" s="39" t="s">
        <v>39</v>
      </c>
      <c r="F17" s="39" t="s">
        <v>39</v>
      </c>
      <c r="G17" s="77" t="s">
        <v>39</v>
      </c>
      <c r="H17" s="39" t="s">
        <v>39</v>
      </c>
      <c r="I17" s="39" t="s">
        <v>39</v>
      </c>
      <c r="J17" s="39" t="s">
        <v>39</v>
      </c>
      <c r="K17" s="77" t="s">
        <v>39</v>
      </c>
      <c r="L17" s="39" t="s">
        <v>39</v>
      </c>
      <c r="M17" s="39" t="s">
        <v>39</v>
      </c>
      <c r="N17" s="39" t="s">
        <v>39</v>
      </c>
      <c r="O17" s="77" t="s">
        <v>39</v>
      </c>
      <c r="P17" s="39" t="s">
        <v>39</v>
      </c>
      <c r="Q17" s="39" t="s">
        <v>39</v>
      </c>
      <c r="R17" s="39" t="s">
        <v>39</v>
      </c>
      <c r="S17" s="77" t="s">
        <v>39</v>
      </c>
      <c r="T17" s="39" t="s">
        <v>39</v>
      </c>
      <c r="U17" s="39" t="s">
        <v>39</v>
      </c>
      <c r="V17" s="39" t="s">
        <v>39</v>
      </c>
      <c r="W17" s="77" t="s">
        <v>39</v>
      </c>
      <c r="X17" s="39" t="s">
        <v>39</v>
      </c>
      <c r="Y17" s="39" t="s">
        <v>39</v>
      </c>
      <c r="Z17" s="39" t="s">
        <v>39</v>
      </c>
      <c r="AA17" s="77" t="s">
        <v>39</v>
      </c>
      <c r="AB17" s="39" t="s">
        <v>39</v>
      </c>
      <c r="AC17" s="39" t="s">
        <v>39</v>
      </c>
      <c r="AD17" s="39" t="s">
        <v>39</v>
      </c>
      <c r="AE17" s="77" t="s">
        <v>39</v>
      </c>
      <c r="AF17" s="39" t="s">
        <v>39</v>
      </c>
      <c r="AG17" s="39" t="s">
        <v>39</v>
      </c>
      <c r="AH17" s="39" t="s">
        <v>39</v>
      </c>
      <c r="AI17" s="77" t="s">
        <v>39</v>
      </c>
      <c r="AJ17" s="39" t="s">
        <v>39</v>
      </c>
      <c r="AK17" s="39" t="s">
        <v>39</v>
      </c>
      <c r="AL17" s="39" t="s">
        <v>39</v>
      </c>
      <c r="AM17" s="77" t="s">
        <v>39</v>
      </c>
      <c r="AN17" s="39" t="s">
        <v>39</v>
      </c>
      <c r="AO17" s="39" t="s">
        <v>39</v>
      </c>
      <c r="AP17" s="39" t="s">
        <v>39</v>
      </c>
      <c r="AQ17" s="7">
        <v>15</v>
      </c>
      <c r="AR17" s="2">
        <f>+AR16*AR18</f>
        <v>12.684999999999999</v>
      </c>
      <c r="AS17" s="2">
        <v>13</v>
      </c>
      <c r="AT17" s="2">
        <v>12</v>
      </c>
      <c r="AU17" s="77">
        <v>6</v>
      </c>
      <c r="AV17" s="39">
        <v>15</v>
      </c>
      <c r="AW17" s="2">
        <v>8</v>
      </c>
      <c r="AX17" s="2">
        <v>-2</v>
      </c>
      <c r="AY17" s="77">
        <v>3</v>
      </c>
      <c r="AZ17" s="39">
        <v>1</v>
      </c>
      <c r="BA17" s="2">
        <v>3</v>
      </c>
      <c r="BB17" s="2">
        <v>3</v>
      </c>
      <c r="BC17" s="77">
        <v>11</v>
      </c>
      <c r="BD17" s="39">
        <f>20-BC17</f>
        <v>9</v>
      </c>
      <c r="BE17" s="2">
        <v>6</v>
      </c>
      <c r="BF17" s="2">
        <v>-1</v>
      </c>
      <c r="BG17" s="77">
        <v>-5</v>
      </c>
      <c r="BH17" s="39">
        <f>+-4-BG17</f>
        <v>1</v>
      </c>
      <c r="BI17" s="2">
        <v>0</v>
      </c>
      <c r="BJ17" s="2">
        <v>3</v>
      </c>
      <c r="BK17" s="77">
        <v>-1</v>
      </c>
      <c r="BL17" s="39">
        <v>6</v>
      </c>
      <c r="BM17" s="2">
        <v>11</v>
      </c>
      <c r="BN17" s="2">
        <v>0</v>
      </c>
      <c r="BO17" s="77">
        <v>-7</v>
      </c>
      <c r="BP17" s="39">
        <v>-3</v>
      </c>
      <c r="BQ17" s="2">
        <v>10</v>
      </c>
      <c r="BR17" s="2">
        <v>1</v>
      </c>
      <c r="BS17" s="77">
        <v>0</v>
      </c>
      <c r="BT17" s="39" t="s">
        <v>33</v>
      </c>
      <c r="BU17" s="2">
        <v>4</v>
      </c>
      <c r="BV17" s="2">
        <v>-9</v>
      </c>
      <c r="BW17" s="77">
        <v>0</v>
      </c>
      <c r="BX17" s="2">
        <v>1</v>
      </c>
      <c r="BY17" s="2">
        <v>-4</v>
      </c>
      <c r="BZ17" s="87">
        <v>0</v>
      </c>
      <c r="CA17" s="77" t="s">
        <v>39</v>
      </c>
      <c r="CB17" s="39" t="s">
        <v>39</v>
      </c>
      <c r="CC17" s="39" t="s">
        <v>39</v>
      </c>
      <c r="CD17" s="39" t="s">
        <v>39</v>
      </c>
      <c r="CE17" s="77" t="s">
        <v>39</v>
      </c>
      <c r="CF17" s="39" t="s">
        <v>39</v>
      </c>
      <c r="CG17" s="39" t="s">
        <v>39</v>
      </c>
      <c r="CH17" s="39" t="s">
        <v>39</v>
      </c>
      <c r="CI17" s="77" t="s">
        <v>39</v>
      </c>
      <c r="CJ17" s="39" t="s">
        <v>39</v>
      </c>
      <c r="CK17" s="39" t="s">
        <v>39</v>
      </c>
      <c r="CL17" s="39" t="s">
        <v>39</v>
      </c>
      <c r="CM17" s="77" t="s">
        <v>39</v>
      </c>
      <c r="CN17" s="39" t="s">
        <v>39</v>
      </c>
      <c r="CO17" s="39" t="s">
        <v>39</v>
      </c>
      <c r="CP17" s="39" t="s">
        <v>39</v>
      </c>
    </row>
    <row r="18" spans="1:94" x14ac:dyDescent="0.45">
      <c r="B18" s="65" t="s">
        <v>7</v>
      </c>
      <c r="C18" s="43" t="s">
        <v>39</v>
      </c>
      <c r="D18" s="43" t="s">
        <v>39</v>
      </c>
      <c r="E18" s="43" t="s">
        <v>39</v>
      </c>
      <c r="F18" s="43" t="s">
        <v>39</v>
      </c>
      <c r="G18" s="80" t="s">
        <v>39</v>
      </c>
      <c r="H18" s="43" t="s">
        <v>39</v>
      </c>
      <c r="I18" s="43" t="s">
        <v>39</v>
      </c>
      <c r="J18" s="43" t="s">
        <v>39</v>
      </c>
      <c r="K18" s="80" t="s">
        <v>39</v>
      </c>
      <c r="L18" s="43" t="s">
        <v>39</v>
      </c>
      <c r="M18" s="43" t="s">
        <v>39</v>
      </c>
      <c r="N18" s="43" t="s">
        <v>39</v>
      </c>
      <c r="O18" s="80" t="s">
        <v>39</v>
      </c>
      <c r="P18" s="43" t="s">
        <v>39</v>
      </c>
      <c r="Q18" s="43" t="s">
        <v>39</v>
      </c>
      <c r="R18" s="43" t="s">
        <v>39</v>
      </c>
      <c r="S18" s="80" t="s">
        <v>39</v>
      </c>
      <c r="T18" s="43" t="s">
        <v>39</v>
      </c>
      <c r="U18" s="43" t="s">
        <v>39</v>
      </c>
      <c r="V18" s="43" t="s">
        <v>39</v>
      </c>
      <c r="W18" s="80" t="s">
        <v>39</v>
      </c>
      <c r="X18" s="43" t="s">
        <v>39</v>
      </c>
      <c r="Y18" s="43" t="s">
        <v>39</v>
      </c>
      <c r="Z18" s="43" t="s">
        <v>39</v>
      </c>
      <c r="AA18" s="80" t="s">
        <v>39</v>
      </c>
      <c r="AB18" s="43" t="s">
        <v>39</v>
      </c>
      <c r="AC18" s="43" t="s">
        <v>39</v>
      </c>
      <c r="AD18" s="43" t="s">
        <v>39</v>
      </c>
      <c r="AE18" s="80" t="s">
        <v>39</v>
      </c>
      <c r="AF18" s="43" t="s">
        <v>39</v>
      </c>
      <c r="AG18" s="43" t="s">
        <v>39</v>
      </c>
      <c r="AH18" s="43" t="s">
        <v>39</v>
      </c>
      <c r="AI18" s="80" t="s">
        <v>39</v>
      </c>
      <c r="AJ18" s="43" t="s">
        <v>39</v>
      </c>
      <c r="AK18" s="43" t="s">
        <v>39</v>
      </c>
      <c r="AL18" s="43" t="s">
        <v>39</v>
      </c>
      <c r="AM18" s="80" t="s">
        <v>39</v>
      </c>
      <c r="AN18" s="43" t="s">
        <v>39</v>
      </c>
      <c r="AO18" s="43" t="s">
        <v>39</v>
      </c>
      <c r="AP18" s="43" t="s">
        <v>39</v>
      </c>
      <c r="AQ18" s="80">
        <v>8.3000000000000004E-2</v>
      </c>
      <c r="AR18" s="43">
        <v>5.8999999999999997E-2</v>
      </c>
      <c r="AS18" s="15">
        <v>6.0999999999999999E-2</v>
      </c>
      <c r="AT18" s="15">
        <v>5.5E-2</v>
      </c>
      <c r="AU18" s="80">
        <v>3.1E-2</v>
      </c>
      <c r="AV18" s="43">
        <v>5.8999999999999997E-2</v>
      </c>
      <c r="AW18" s="15">
        <v>3.7999999999999999E-2</v>
      </c>
      <c r="AX18" s="15">
        <v>-8.9999999999999993E-3</v>
      </c>
      <c r="AY18" s="80">
        <v>1.7000000000000001E-2</v>
      </c>
      <c r="AZ18" s="43">
        <v>8.9999999999999993E-3</v>
      </c>
      <c r="BA18" s="15">
        <v>1.7999999999999999E-2</v>
      </c>
      <c r="BB18" s="15">
        <v>1.4E-2</v>
      </c>
      <c r="BC18" s="80">
        <v>5.6000000000000001E-2</v>
      </c>
      <c r="BD18" s="43">
        <f>+BD17/BD16</f>
        <v>3.7499999999999999E-2</v>
      </c>
      <c r="BE18" s="15">
        <v>3.2000000000000001E-2</v>
      </c>
      <c r="BF18" s="15">
        <v>-7.0000000000000001E-3</v>
      </c>
      <c r="BG18" s="80">
        <v>-3.5000000000000003E-2</v>
      </c>
      <c r="BH18" s="43">
        <f>+BH17/BH16</f>
        <v>4.5662100456621002E-3</v>
      </c>
      <c r="BI18" s="15">
        <v>4.0000000000000001E-3</v>
      </c>
      <c r="BJ18" s="15">
        <v>1.4E-2</v>
      </c>
      <c r="BK18" s="80">
        <v>-8.9999999999999993E-3</v>
      </c>
      <c r="BL18" s="43">
        <v>2.5999999999999999E-2</v>
      </c>
      <c r="BM18" s="15">
        <v>4.2999999999999997E-2</v>
      </c>
      <c r="BN18" s="15">
        <v>3.0000000000000001E-3</v>
      </c>
      <c r="BO18" s="80">
        <v>-3.5999999999999997E-2</v>
      </c>
      <c r="BP18" s="43">
        <v>-1.4999999999999999E-2</v>
      </c>
      <c r="BQ18" s="15">
        <v>4.5999999999999999E-2</v>
      </c>
      <c r="BR18" s="15">
        <v>4.0000000000000001E-3</v>
      </c>
      <c r="BS18" s="80">
        <v>2E-3</v>
      </c>
      <c r="BT18" s="36">
        <v>-1E-3</v>
      </c>
      <c r="BU18" s="15">
        <v>1.6E-2</v>
      </c>
      <c r="BV18" s="15">
        <v>-3.6999999999999998E-2</v>
      </c>
      <c r="BW18" s="80">
        <v>0</v>
      </c>
      <c r="BX18" s="36">
        <v>7.0000000000000001E-3</v>
      </c>
      <c r="BY18" s="15">
        <v>-2.1000000000000001E-2</v>
      </c>
      <c r="BZ18" s="15">
        <v>-1E-3</v>
      </c>
      <c r="CA18" s="80" t="s">
        <v>39</v>
      </c>
      <c r="CB18" s="43" t="s">
        <v>39</v>
      </c>
      <c r="CC18" s="43" t="s">
        <v>39</v>
      </c>
      <c r="CD18" s="43" t="s">
        <v>39</v>
      </c>
      <c r="CE18" s="80" t="s">
        <v>39</v>
      </c>
      <c r="CF18" s="43" t="s">
        <v>39</v>
      </c>
      <c r="CG18" s="43" t="s">
        <v>39</v>
      </c>
      <c r="CH18" s="43" t="s">
        <v>39</v>
      </c>
      <c r="CI18" s="80" t="s">
        <v>39</v>
      </c>
      <c r="CJ18" s="43" t="s">
        <v>39</v>
      </c>
      <c r="CK18" s="43" t="s">
        <v>39</v>
      </c>
      <c r="CL18" s="43" t="s">
        <v>39</v>
      </c>
      <c r="CM18" s="80" t="s">
        <v>39</v>
      </c>
      <c r="CN18" s="43" t="s">
        <v>39</v>
      </c>
      <c r="CO18" s="43" t="s">
        <v>39</v>
      </c>
      <c r="CP18" s="43" t="s">
        <v>39</v>
      </c>
    </row>
    <row r="19" spans="1:94" x14ac:dyDescent="0.45">
      <c r="B19" s="66" t="s">
        <v>12</v>
      </c>
      <c r="C19" s="39"/>
      <c r="D19" s="39"/>
      <c r="E19" s="39"/>
      <c r="F19" s="39"/>
      <c r="G19" s="77"/>
      <c r="H19" s="39"/>
      <c r="I19" s="39"/>
      <c r="J19" s="39"/>
      <c r="K19" s="77"/>
      <c r="L19" s="39"/>
      <c r="M19" s="39"/>
      <c r="N19" s="39"/>
      <c r="O19" s="77"/>
      <c r="P19" s="39"/>
      <c r="Q19" s="39"/>
      <c r="R19" s="39"/>
      <c r="S19" s="77"/>
      <c r="T19" s="39"/>
      <c r="U19" s="39"/>
      <c r="V19" s="39"/>
      <c r="W19" s="77"/>
      <c r="X19" s="2"/>
      <c r="Y19" s="2"/>
      <c r="Z19" s="2"/>
      <c r="AA19" s="77"/>
      <c r="AB19" s="2"/>
      <c r="AC19" s="2"/>
      <c r="AD19" s="2"/>
      <c r="AE19" s="77"/>
      <c r="AF19" s="2"/>
      <c r="AG19" s="2"/>
      <c r="AH19" s="2"/>
      <c r="AI19" s="77"/>
      <c r="AJ19" s="2"/>
      <c r="AK19" s="2"/>
      <c r="AL19" s="2"/>
      <c r="AM19" s="77"/>
      <c r="AN19" s="2"/>
      <c r="AO19" s="2"/>
      <c r="AP19" s="2"/>
      <c r="AQ19" s="77"/>
      <c r="AR19" s="2"/>
      <c r="AS19" s="2"/>
      <c r="AT19" s="2"/>
      <c r="AU19" s="77"/>
      <c r="AV19" s="2"/>
      <c r="AW19" s="2"/>
      <c r="AX19" s="2"/>
      <c r="AY19" s="77"/>
      <c r="AZ19" s="2"/>
      <c r="BA19" s="2"/>
      <c r="BB19" s="2"/>
      <c r="BC19" s="77"/>
      <c r="BD19" s="2"/>
      <c r="BE19" s="2"/>
      <c r="BF19" s="2"/>
      <c r="BG19" s="77"/>
      <c r="BH19" s="2"/>
      <c r="BI19" s="2"/>
      <c r="BJ19" s="2"/>
      <c r="BK19" s="77"/>
      <c r="BL19" s="2"/>
      <c r="BM19" s="2"/>
      <c r="BN19" s="2"/>
      <c r="BO19" s="77"/>
      <c r="BP19" s="2"/>
      <c r="BQ19" s="2"/>
      <c r="BR19" s="2"/>
      <c r="BS19" s="7"/>
      <c r="BT19" s="2"/>
      <c r="BU19" s="2"/>
      <c r="BV19" s="2"/>
      <c r="BW19" s="7"/>
      <c r="BX19" s="2"/>
      <c r="BY19" s="2"/>
      <c r="BZ19" s="2"/>
      <c r="CA19" s="7"/>
      <c r="CB19" s="2"/>
      <c r="CC19" s="2"/>
      <c r="CD19" s="2"/>
      <c r="CE19" s="7"/>
      <c r="CF19" s="2"/>
      <c r="CG19" s="2"/>
      <c r="CH19" s="2"/>
      <c r="CI19" s="7"/>
      <c r="CJ19" s="2"/>
      <c r="CK19" s="2"/>
      <c r="CL19" s="2"/>
      <c r="CM19" s="7"/>
      <c r="CN19" s="2"/>
      <c r="CO19" s="2"/>
      <c r="CP19" s="2"/>
    </row>
    <row r="20" spans="1:94" x14ac:dyDescent="0.45">
      <c r="B20" s="67" t="s">
        <v>36</v>
      </c>
      <c r="C20" s="39" t="s">
        <v>39</v>
      </c>
      <c r="D20" s="39" t="s">
        <v>39</v>
      </c>
      <c r="E20" s="39" t="s">
        <v>39</v>
      </c>
      <c r="F20" s="39" t="s">
        <v>39</v>
      </c>
      <c r="G20" s="77" t="s">
        <v>39</v>
      </c>
      <c r="H20" s="39" t="s">
        <v>39</v>
      </c>
      <c r="I20" s="39" t="s">
        <v>39</v>
      </c>
      <c r="J20" s="39" t="s">
        <v>39</v>
      </c>
      <c r="K20" s="77" t="s">
        <v>39</v>
      </c>
      <c r="L20" s="39" t="s">
        <v>39</v>
      </c>
      <c r="M20" s="39" t="s">
        <v>39</v>
      </c>
      <c r="N20" s="39" t="s">
        <v>39</v>
      </c>
      <c r="O20" s="77" t="s">
        <v>39</v>
      </c>
      <c r="P20" s="39" t="s">
        <v>39</v>
      </c>
      <c r="Q20" s="39" t="s">
        <v>39</v>
      </c>
      <c r="R20" s="39" t="s">
        <v>39</v>
      </c>
      <c r="S20" s="77" t="s">
        <v>39</v>
      </c>
      <c r="T20" s="39" t="s">
        <v>39</v>
      </c>
      <c r="U20" s="39" t="s">
        <v>39</v>
      </c>
      <c r="V20" s="39" t="s">
        <v>39</v>
      </c>
      <c r="W20" s="77">
        <v>50</v>
      </c>
      <c r="X20" s="2">
        <v>65</v>
      </c>
      <c r="Y20" s="2">
        <v>46</v>
      </c>
      <c r="Z20" s="2">
        <v>89</v>
      </c>
      <c r="AA20" s="77">
        <v>60</v>
      </c>
      <c r="AB20" s="2">
        <v>77</v>
      </c>
      <c r="AC20" s="2">
        <v>65</v>
      </c>
      <c r="AD20" s="2">
        <v>69</v>
      </c>
      <c r="AE20" s="77">
        <v>38</v>
      </c>
      <c r="AF20" s="2">
        <v>61</v>
      </c>
      <c r="AG20" s="2">
        <v>44</v>
      </c>
      <c r="AH20" s="2">
        <v>75</v>
      </c>
      <c r="AI20" s="77">
        <v>54</v>
      </c>
      <c r="AJ20" s="2">
        <v>58</v>
      </c>
      <c r="AK20" s="2">
        <v>45</v>
      </c>
      <c r="AL20" s="2">
        <v>48</v>
      </c>
      <c r="AM20" s="77">
        <v>32</v>
      </c>
      <c r="AN20" s="2">
        <v>46</v>
      </c>
      <c r="AO20" s="2">
        <v>35</v>
      </c>
      <c r="AP20" s="2">
        <v>63</v>
      </c>
      <c r="AQ20" s="77">
        <v>51</v>
      </c>
      <c r="AR20" s="2">
        <v>64</v>
      </c>
      <c r="AS20" s="2">
        <v>66</v>
      </c>
      <c r="AT20" s="2">
        <v>79</v>
      </c>
      <c r="AU20" s="77">
        <v>50</v>
      </c>
      <c r="AV20" s="2">
        <v>82</v>
      </c>
      <c r="AW20" s="2">
        <v>53</v>
      </c>
      <c r="AX20" s="2">
        <v>88</v>
      </c>
      <c r="AY20" s="77">
        <v>58</v>
      </c>
      <c r="AZ20" s="2">
        <v>72</v>
      </c>
      <c r="BA20" s="2">
        <v>57</v>
      </c>
      <c r="BB20" s="2">
        <v>78</v>
      </c>
      <c r="BC20" s="77">
        <v>50</v>
      </c>
      <c r="BD20" s="2">
        <v>73</v>
      </c>
      <c r="BE20" s="2">
        <v>37</v>
      </c>
      <c r="BF20" s="2">
        <v>94</v>
      </c>
      <c r="BG20" s="77">
        <v>46</v>
      </c>
      <c r="BH20" s="2">
        <v>73</v>
      </c>
      <c r="BI20" s="2">
        <v>28</v>
      </c>
      <c r="BJ20" s="2">
        <v>64</v>
      </c>
      <c r="BK20" s="77">
        <v>44</v>
      </c>
      <c r="BL20" s="2">
        <v>75</v>
      </c>
      <c r="BM20" s="2">
        <v>58</v>
      </c>
      <c r="BN20" s="2">
        <v>80</v>
      </c>
      <c r="BO20" s="77">
        <v>55</v>
      </c>
      <c r="BP20" s="2">
        <v>78</v>
      </c>
      <c r="BQ20" s="2">
        <v>44</v>
      </c>
      <c r="BR20" s="2">
        <v>106</v>
      </c>
      <c r="BS20" s="7">
        <v>68</v>
      </c>
      <c r="BT20" s="2">
        <v>82</v>
      </c>
      <c r="BU20" s="2">
        <v>83</v>
      </c>
      <c r="BV20" s="2">
        <v>97</v>
      </c>
      <c r="BW20" s="7">
        <v>76</v>
      </c>
      <c r="BX20" s="2">
        <v>98</v>
      </c>
      <c r="BY20" s="2">
        <v>65</v>
      </c>
      <c r="BZ20" s="2">
        <v>112</v>
      </c>
      <c r="CA20" s="77" t="s">
        <v>39</v>
      </c>
      <c r="CB20" s="39" t="s">
        <v>39</v>
      </c>
      <c r="CC20" s="39" t="s">
        <v>39</v>
      </c>
      <c r="CD20" s="39" t="s">
        <v>39</v>
      </c>
      <c r="CE20" s="77" t="s">
        <v>39</v>
      </c>
      <c r="CF20" s="39" t="s">
        <v>39</v>
      </c>
      <c r="CG20" s="39" t="s">
        <v>39</v>
      </c>
      <c r="CH20" s="39" t="s">
        <v>39</v>
      </c>
      <c r="CI20" s="77" t="s">
        <v>39</v>
      </c>
      <c r="CJ20" s="39" t="s">
        <v>39</v>
      </c>
      <c r="CK20" s="39" t="s">
        <v>39</v>
      </c>
      <c r="CL20" s="39" t="s">
        <v>39</v>
      </c>
      <c r="CM20" s="77" t="s">
        <v>39</v>
      </c>
      <c r="CN20" s="39" t="s">
        <v>39</v>
      </c>
      <c r="CO20" s="39" t="s">
        <v>39</v>
      </c>
      <c r="CP20" s="39" t="s">
        <v>39</v>
      </c>
    </row>
    <row r="21" spans="1:94" x14ac:dyDescent="0.45">
      <c r="B21" s="67" t="s">
        <v>37</v>
      </c>
      <c r="C21" s="39" t="s">
        <v>39</v>
      </c>
      <c r="D21" s="39" t="s">
        <v>39</v>
      </c>
      <c r="E21" s="39" t="s">
        <v>39</v>
      </c>
      <c r="F21" s="39" t="s">
        <v>39</v>
      </c>
      <c r="G21" s="77" t="s">
        <v>39</v>
      </c>
      <c r="H21" s="39" t="s">
        <v>39</v>
      </c>
      <c r="I21" s="39" t="s">
        <v>39</v>
      </c>
      <c r="J21" s="39" t="s">
        <v>39</v>
      </c>
      <c r="K21" s="77" t="s">
        <v>39</v>
      </c>
      <c r="L21" s="39" t="s">
        <v>39</v>
      </c>
      <c r="M21" s="39" t="s">
        <v>39</v>
      </c>
      <c r="N21" s="39" t="s">
        <v>39</v>
      </c>
      <c r="O21" s="77" t="s">
        <v>39</v>
      </c>
      <c r="P21" s="39" t="s">
        <v>39</v>
      </c>
      <c r="Q21" s="39" t="s">
        <v>39</v>
      </c>
      <c r="R21" s="39" t="s">
        <v>39</v>
      </c>
      <c r="S21" s="77" t="s">
        <v>39</v>
      </c>
      <c r="T21" s="39" t="s">
        <v>39</v>
      </c>
      <c r="U21" s="39" t="s">
        <v>39</v>
      </c>
      <c r="V21" s="39" t="s">
        <v>39</v>
      </c>
      <c r="W21" s="77">
        <v>55</v>
      </c>
      <c r="X21" s="2">
        <v>64</v>
      </c>
      <c r="Y21" s="2">
        <v>90</v>
      </c>
      <c r="Z21" s="2">
        <v>96</v>
      </c>
      <c r="AA21" s="77">
        <v>90</v>
      </c>
      <c r="AB21" s="2">
        <v>104</v>
      </c>
      <c r="AC21" s="2">
        <v>133</v>
      </c>
      <c r="AD21" s="2">
        <v>132</v>
      </c>
      <c r="AE21" s="77">
        <v>121</v>
      </c>
      <c r="AF21" s="2">
        <v>111</v>
      </c>
      <c r="AG21" s="2">
        <v>117</v>
      </c>
      <c r="AH21" s="2">
        <v>100</v>
      </c>
      <c r="AI21" s="77">
        <v>93</v>
      </c>
      <c r="AJ21" s="2">
        <v>93</v>
      </c>
      <c r="AK21" s="2">
        <v>87</v>
      </c>
      <c r="AL21" s="2">
        <v>86</v>
      </c>
      <c r="AM21" s="77">
        <v>95</v>
      </c>
      <c r="AN21" s="2">
        <v>111</v>
      </c>
      <c r="AO21" s="2">
        <v>117</v>
      </c>
      <c r="AP21" s="2">
        <v>117</v>
      </c>
      <c r="AQ21" s="77">
        <v>128</v>
      </c>
      <c r="AR21" s="2">
        <v>145</v>
      </c>
      <c r="AS21" s="2">
        <v>154</v>
      </c>
      <c r="AT21" s="2">
        <v>147</v>
      </c>
      <c r="AU21" s="77">
        <v>162</v>
      </c>
      <c r="AV21" s="2">
        <v>170</v>
      </c>
      <c r="AW21" s="2">
        <v>166</v>
      </c>
      <c r="AX21" s="2">
        <v>159</v>
      </c>
      <c r="AY21" s="77">
        <v>157</v>
      </c>
      <c r="AZ21" s="2">
        <v>136</v>
      </c>
      <c r="BA21" s="2">
        <v>143</v>
      </c>
      <c r="BB21" s="2">
        <v>140</v>
      </c>
      <c r="BC21" s="77">
        <v>148</v>
      </c>
      <c r="BD21" s="2">
        <v>162</v>
      </c>
      <c r="BE21" s="2">
        <v>171</v>
      </c>
      <c r="BF21" s="2">
        <v>156</v>
      </c>
      <c r="BG21" s="77">
        <v>119</v>
      </c>
      <c r="BH21" s="2">
        <v>140</v>
      </c>
      <c r="BI21" s="2">
        <v>175</v>
      </c>
      <c r="BJ21" s="2">
        <v>169</v>
      </c>
      <c r="BK21" s="77">
        <v>162</v>
      </c>
      <c r="BL21" s="2">
        <v>185</v>
      </c>
      <c r="BM21" s="2">
        <v>201</v>
      </c>
      <c r="BN21" s="2">
        <v>154</v>
      </c>
      <c r="BO21" s="77">
        <v>154</v>
      </c>
      <c r="BP21" s="2">
        <v>156</v>
      </c>
      <c r="BQ21" s="2">
        <v>187</v>
      </c>
      <c r="BR21" s="2">
        <v>171</v>
      </c>
      <c r="BS21" s="7">
        <v>154</v>
      </c>
      <c r="BT21" s="2">
        <v>152</v>
      </c>
      <c r="BU21" s="2">
        <v>175</v>
      </c>
      <c r="BV21" s="2">
        <v>145</v>
      </c>
      <c r="BW21" s="7">
        <v>137</v>
      </c>
      <c r="BX21" s="2">
        <v>141</v>
      </c>
      <c r="BY21" s="2">
        <v>150</v>
      </c>
      <c r="BZ21" s="2">
        <v>140</v>
      </c>
      <c r="CA21" s="77" t="s">
        <v>39</v>
      </c>
      <c r="CB21" s="39" t="s">
        <v>39</v>
      </c>
      <c r="CC21" s="39" t="s">
        <v>39</v>
      </c>
      <c r="CD21" s="39" t="s">
        <v>39</v>
      </c>
      <c r="CE21" s="77" t="s">
        <v>39</v>
      </c>
      <c r="CF21" s="39" t="s">
        <v>39</v>
      </c>
      <c r="CG21" s="39" t="s">
        <v>39</v>
      </c>
      <c r="CH21" s="39" t="s">
        <v>39</v>
      </c>
      <c r="CI21" s="77" t="s">
        <v>39</v>
      </c>
      <c r="CJ21" s="39" t="s">
        <v>39</v>
      </c>
      <c r="CK21" s="39" t="s">
        <v>39</v>
      </c>
      <c r="CL21" s="39" t="s">
        <v>39</v>
      </c>
      <c r="CM21" s="77" t="s">
        <v>39</v>
      </c>
      <c r="CN21" s="39" t="s">
        <v>39</v>
      </c>
      <c r="CO21" s="39" t="s">
        <v>39</v>
      </c>
      <c r="CP21" s="39" t="s">
        <v>39</v>
      </c>
    </row>
    <row r="22" spans="1:94" x14ac:dyDescent="0.45">
      <c r="B22" s="68" t="s">
        <v>38</v>
      </c>
      <c r="C22" s="41" t="s">
        <v>39</v>
      </c>
      <c r="D22" s="41" t="s">
        <v>39</v>
      </c>
      <c r="E22" s="41" t="s">
        <v>39</v>
      </c>
      <c r="F22" s="41" t="s">
        <v>39</v>
      </c>
      <c r="G22" s="81" t="s">
        <v>39</v>
      </c>
      <c r="H22" s="41" t="s">
        <v>39</v>
      </c>
      <c r="I22" s="41" t="s">
        <v>39</v>
      </c>
      <c r="J22" s="41" t="s">
        <v>39</v>
      </c>
      <c r="K22" s="81" t="s">
        <v>39</v>
      </c>
      <c r="L22" s="41" t="s">
        <v>39</v>
      </c>
      <c r="M22" s="41" t="s">
        <v>39</v>
      </c>
      <c r="N22" s="41" t="s">
        <v>39</v>
      </c>
      <c r="O22" s="81" t="s">
        <v>39</v>
      </c>
      <c r="P22" s="41" t="s">
        <v>39</v>
      </c>
      <c r="Q22" s="41" t="s">
        <v>39</v>
      </c>
      <c r="R22" s="41" t="s">
        <v>39</v>
      </c>
      <c r="S22" s="81" t="s">
        <v>39</v>
      </c>
      <c r="T22" s="41" t="s">
        <v>39</v>
      </c>
      <c r="U22" s="41" t="s">
        <v>39</v>
      </c>
      <c r="V22" s="41" t="s">
        <v>39</v>
      </c>
      <c r="W22" s="81">
        <v>3</v>
      </c>
      <c r="X22" s="40">
        <v>5</v>
      </c>
      <c r="Y22" s="2">
        <v>3</v>
      </c>
      <c r="Z22" s="2">
        <v>6</v>
      </c>
      <c r="AA22" s="81">
        <v>2</v>
      </c>
      <c r="AB22" s="40">
        <v>6</v>
      </c>
      <c r="AC22" s="2">
        <v>2</v>
      </c>
      <c r="AD22" s="2">
        <v>5</v>
      </c>
      <c r="AE22" s="81">
        <v>3</v>
      </c>
      <c r="AF22" s="40">
        <v>5</v>
      </c>
      <c r="AG22" s="2">
        <v>3</v>
      </c>
      <c r="AH22" s="2">
        <v>7</v>
      </c>
      <c r="AI22" s="81">
        <v>2</v>
      </c>
      <c r="AJ22" s="40">
        <v>5</v>
      </c>
      <c r="AK22" s="2">
        <v>3</v>
      </c>
      <c r="AL22" s="2">
        <v>3</v>
      </c>
      <c r="AM22" s="81">
        <v>2</v>
      </c>
      <c r="AN22" s="40">
        <v>4</v>
      </c>
      <c r="AO22" s="2">
        <v>1</v>
      </c>
      <c r="AP22" s="2">
        <v>4</v>
      </c>
      <c r="AQ22" s="81">
        <v>2</v>
      </c>
      <c r="AR22" s="40">
        <v>3</v>
      </c>
      <c r="AS22" s="2">
        <v>2</v>
      </c>
      <c r="AT22" s="2">
        <v>3</v>
      </c>
      <c r="AU22" s="81">
        <v>2</v>
      </c>
      <c r="AV22" s="40">
        <v>4</v>
      </c>
      <c r="AW22" s="2">
        <v>2</v>
      </c>
      <c r="AX22" s="2">
        <v>5</v>
      </c>
      <c r="AY22" s="81">
        <v>2</v>
      </c>
      <c r="AZ22" s="40">
        <v>4</v>
      </c>
      <c r="BA22" s="2">
        <v>2</v>
      </c>
      <c r="BB22" s="2">
        <v>4</v>
      </c>
      <c r="BC22" s="81">
        <v>2</v>
      </c>
      <c r="BD22" s="40">
        <v>4</v>
      </c>
      <c r="BE22" s="2">
        <v>3</v>
      </c>
      <c r="BF22" s="2">
        <v>7</v>
      </c>
      <c r="BG22" s="81">
        <v>2</v>
      </c>
      <c r="BH22" s="40">
        <v>5</v>
      </c>
      <c r="BI22" s="2">
        <v>8</v>
      </c>
      <c r="BJ22" s="2">
        <v>7</v>
      </c>
      <c r="BK22" s="81">
        <v>5</v>
      </c>
      <c r="BL22" s="40">
        <v>5</v>
      </c>
      <c r="BM22" s="2">
        <v>2</v>
      </c>
      <c r="BN22" s="2">
        <v>10</v>
      </c>
      <c r="BO22" s="81">
        <v>2</v>
      </c>
      <c r="BP22" s="40">
        <v>5</v>
      </c>
      <c r="BQ22" s="2">
        <v>3</v>
      </c>
      <c r="BR22" s="2">
        <v>8</v>
      </c>
      <c r="BS22" s="89">
        <v>3</v>
      </c>
      <c r="BT22" s="40">
        <v>6</v>
      </c>
      <c r="BU22" s="2">
        <v>2</v>
      </c>
      <c r="BV22" s="2">
        <v>5</v>
      </c>
      <c r="BW22" s="89">
        <v>3</v>
      </c>
      <c r="BX22" s="40">
        <v>8</v>
      </c>
      <c r="BY22" s="40">
        <v>4</v>
      </c>
      <c r="BZ22" s="2">
        <v>7</v>
      </c>
      <c r="CA22" s="81" t="s">
        <v>39</v>
      </c>
      <c r="CB22" s="41" t="s">
        <v>39</v>
      </c>
      <c r="CC22" s="41" t="s">
        <v>39</v>
      </c>
      <c r="CD22" s="41" t="s">
        <v>39</v>
      </c>
      <c r="CE22" s="81" t="s">
        <v>39</v>
      </c>
      <c r="CF22" s="41" t="s">
        <v>39</v>
      </c>
      <c r="CG22" s="41" t="s">
        <v>39</v>
      </c>
      <c r="CH22" s="41" t="s">
        <v>39</v>
      </c>
      <c r="CI22" s="81" t="s">
        <v>39</v>
      </c>
      <c r="CJ22" s="41" t="s">
        <v>39</v>
      </c>
      <c r="CK22" s="41" t="s">
        <v>39</v>
      </c>
      <c r="CL22" s="41" t="s">
        <v>39</v>
      </c>
      <c r="CM22" s="81" t="s">
        <v>39</v>
      </c>
      <c r="CN22" s="41" t="s">
        <v>39</v>
      </c>
      <c r="CO22" s="41" t="s">
        <v>39</v>
      </c>
      <c r="CP22" s="41" t="s">
        <v>39</v>
      </c>
    </row>
    <row r="23" spans="1:94" x14ac:dyDescent="0.45">
      <c r="B23" s="63" t="s">
        <v>32</v>
      </c>
      <c r="C23" s="46"/>
      <c r="D23" s="46"/>
      <c r="E23" s="46"/>
      <c r="F23" s="46"/>
      <c r="G23" s="79"/>
      <c r="H23" s="46"/>
      <c r="I23" s="46"/>
      <c r="J23" s="46"/>
      <c r="K23" s="79"/>
      <c r="L23" s="46"/>
      <c r="M23" s="46"/>
      <c r="N23" s="46"/>
      <c r="O23" s="79"/>
      <c r="P23" s="46"/>
      <c r="Q23" s="46"/>
      <c r="R23" s="46"/>
      <c r="S23" s="79"/>
      <c r="T23" s="46"/>
      <c r="U23" s="46"/>
      <c r="V23" s="46"/>
      <c r="W23" s="6"/>
      <c r="X23" s="4"/>
      <c r="Y23" s="4"/>
      <c r="Z23" s="4"/>
      <c r="AA23" s="6"/>
      <c r="AB23" s="4"/>
      <c r="AC23" s="4"/>
      <c r="AD23" s="4"/>
      <c r="AE23" s="6"/>
      <c r="AF23" s="4"/>
      <c r="AG23" s="4"/>
      <c r="AH23" s="4"/>
      <c r="AI23" s="6"/>
      <c r="AJ23" s="4"/>
      <c r="AK23" s="4"/>
      <c r="AL23" s="4"/>
      <c r="AM23" s="6"/>
      <c r="AN23" s="4"/>
      <c r="AO23" s="4"/>
      <c r="AP23" s="4"/>
      <c r="AQ23" s="6"/>
      <c r="AR23" s="4"/>
      <c r="AS23" s="4"/>
      <c r="AT23" s="4"/>
      <c r="AU23" s="6"/>
      <c r="AV23" s="4"/>
      <c r="AW23" s="4"/>
      <c r="AX23" s="4"/>
      <c r="AY23" s="6"/>
      <c r="AZ23" s="4"/>
      <c r="BA23" s="4"/>
      <c r="BB23" s="4"/>
      <c r="BC23" s="6"/>
      <c r="BD23" s="4"/>
      <c r="BE23" s="4"/>
      <c r="BF23" s="4"/>
      <c r="BG23" s="6"/>
      <c r="BH23" s="4"/>
      <c r="BI23" s="4"/>
      <c r="BJ23" s="4"/>
      <c r="BK23" s="6"/>
      <c r="BL23" s="4"/>
      <c r="BM23" s="4"/>
      <c r="BN23" s="4"/>
      <c r="BO23" s="6"/>
      <c r="BP23" s="4"/>
      <c r="BQ23" s="4"/>
      <c r="BR23" s="4"/>
      <c r="BS23" s="6"/>
      <c r="BT23" s="4"/>
      <c r="BU23" s="4"/>
      <c r="BV23" s="4"/>
      <c r="BW23" s="6"/>
      <c r="BX23" s="4"/>
      <c r="BY23" s="4"/>
      <c r="BZ23" s="4"/>
      <c r="CA23" s="6"/>
      <c r="CB23" s="4"/>
      <c r="CC23" s="4"/>
      <c r="CD23" s="4"/>
      <c r="CE23" s="6"/>
      <c r="CF23" s="4"/>
      <c r="CG23" s="4"/>
      <c r="CH23" s="4"/>
      <c r="CI23" s="6"/>
      <c r="CJ23" s="4"/>
      <c r="CK23" s="4"/>
      <c r="CL23" s="4"/>
      <c r="CM23" s="6"/>
      <c r="CN23" s="4"/>
      <c r="CO23" s="4"/>
      <c r="CP23" s="4"/>
    </row>
    <row r="24" spans="1:94" x14ac:dyDescent="0.45">
      <c r="B24" s="19" t="s">
        <v>4</v>
      </c>
      <c r="C24" s="39" t="s">
        <v>39</v>
      </c>
      <c r="D24" s="39" t="s">
        <v>39</v>
      </c>
      <c r="E24" s="39" t="s">
        <v>39</v>
      </c>
      <c r="F24" s="39" t="s">
        <v>39</v>
      </c>
      <c r="G24" s="77" t="s">
        <v>39</v>
      </c>
      <c r="H24" s="39" t="s">
        <v>39</v>
      </c>
      <c r="I24" s="39" t="s">
        <v>39</v>
      </c>
      <c r="J24" s="39" t="s">
        <v>39</v>
      </c>
      <c r="K24" s="77" t="s">
        <v>39</v>
      </c>
      <c r="L24" s="39" t="s">
        <v>39</v>
      </c>
      <c r="M24" s="39" t="s">
        <v>39</v>
      </c>
      <c r="N24" s="39" t="s">
        <v>39</v>
      </c>
      <c r="O24" s="77" t="s">
        <v>39</v>
      </c>
      <c r="P24" s="39" t="s">
        <v>39</v>
      </c>
      <c r="Q24" s="39" t="s">
        <v>39</v>
      </c>
      <c r="R24" s="39" t="s">
        <v>39</v>
      </c>
      <c r="S24" s="77" t="s">
        <v>39</v>
      </c>
      <c r="T24" s="39" t="s">
        <v>39</v>
      </c>
      <c r="U24" s="39" t="s">
        <v>39</v>
      </c>
      <c r="V24" s="39" t="s">
        <v>39</v>
      </c>
      <c r="W24" s="77" t="s">
        <v>39</v>
      </c>
      <c r="X24" s="39" t="s">
        <v>39</v>
      </c>
      <c r="Y24" s="39" t="s">
        <v>39</v>
      </c>
      <c r="Z24" s="39" t="s">
        <v>39</v>
      </c>
      <c r="AA24" s="77" t="s">
        <v>39</v>
      </c>
      <c r="AB24" s="39" t="s">
        <v>39</v>
      </c>
      <c r="AC24" s="39" t="s">
        <v>39</v>
      </c>
      <c r="AD24" s="39" t="s">
        <v>39</v>
      </c>
      <c r="AE24" s="77" t="s">
        <v>39</v>
      </c>
      <c r="AF24" s="39" t="s">
        <v>39</v>
      </c>
      <c r="AG24" s="39" t="s">
        <v>39</v>
      </c>
      <c r="AH24" s="39" t="s">
        <v>39</v>
      </c>
      <c r="AI24" s="77" t="s">
        <v>39</v>
      </c>
      <c r="AJ24" s="39" t="s">
        <v>39</v>
      </c>
      <c r="AK24" s="39" t="s">
        <v>39</v>
      </c>
      <c r="AL24" s="39" t="s">
        <v>39</v>
      </c>
      <c r="AM24" s="77" t="s">
        <v>39</v>
      </c>
      <c r="AN24" s="39" t="s">
        <v>39</v>
      </c>
      <c r="AO24" s="39" t="s">
        <v>39</v>
      </c>
      <c r="AP24" s="39" t="s">
        <v>39</v>
      </c>
      <c r="AQ24" s="77" t="s">
        <v>39</v>
      </c>
      <c r="AR24" s="39" t="s">
        <v>39</v>
      </c>
      <c r="AS24" s="39" t="s">
        <v>39</v>
      </c>
      <c r="AT24" s="39" t="s">
        <v>39</v>
      </c>
      <c r="AU24" s="77" t="s">
        <v>39</v>
      </c>
      <c r="AV24" s="39" t="s">
        <v>39</v>
      </c>
      <c r="AW24" s="39" t="s">
        <v>39</v>
      </c>
      <c r="AX24" s="39" t="s">
        <v>39</v>
      </c>
      <c r="AY24" s="77" t="s">
        <v>39</v>
      </c>
      <c r="AZ24" s="39" t="s">
        <v>39</v>
      </c>
      <c r="BA24" s="39" t="s">
        <v>39</v>
      </c>
      <c r="BB24" s="39" t="s">
        <v>39</v>
      </c>
      <c r="BC24" s="77" t="s">
        <v>39</v>
      </c>
      <c r="BD24" s="39" t="s">
        <v>39</v>
      </c>
      <c r="BE24" s="39" t="s">
        <v>39</v>
      </c>
      <c r="BF24" s="39" t="s">
        <v>39</v>
      </c>
      <c r="BG24" s="77" t="s">
        <v>39</v>
      </c>
      <c r="BH24" s="39" t="s">
        <v>39</v>
      </c>
      <c r="BI24" s="39" t="s">
        <v>39</v>
      </c>
      <c r="BJ24" s="39" t="s">
        <v>39</v>
      </c>
      <c r="BK24" s="77" t="s">
        <v>39</v>
      </c>
      <c r="BL24" s="39" t="s">
        <v>39</v>
      </c>
      <c r="BM24" s="39" t="s">
        <v>39</v>
      </c>
      <c r="BN24" s="39" t="s">
        <v>39</v>
      </c>
      <c r="BO24" s="77" t="s">
        <v>39</v>
      </c>
      <c r="BP24" s="39" t="s">
        <v>39</v>
      </c>
      <c r="BQ24" s="39" t="s">
        <v>39</v>
      </c>
      <c r="BR24" s="39" t="s">
        <v>39</v>
      </c>
      <c r="BS24" s="77" t="s">
        <v>39</v>
      </c>
      <c r="BT24" s="39" t="s">
        <v>39</v>
      </c>
      <c r="BU24" s="39" t="s">
        <v>39</v>
      </c>
      <c r="BV24" s="39" t="s">
        <v>39</v>
      </c>
      <c r="BW24" s="77" t="s">
        <v>39</v>
      </c>
      <c r="BX24" s="39" t="s">
        <v>39</v>
      </c>
      <c r="BY24" s="39" t="s">
        <v>39</v>
      </c>
      <c r="BZ24" s="39" t="s">
        <v>39</v>
      </c>
      <c r="CA24" s="7">
        <v>89</v>
      </c>
      <c r="CB24" s="2">
        <v>91</v>
      </c>
      <c r="CC24" s="2">
        <v>66</v>
      </c>
      <c r="CD24" s="2">
        <v>114</v>
      </c>
      <c r="CE24" s="7">
        <v>71</v>
      </c>
      <c r="CF24" s="2">
        <v>92</v>
      </c>
      <c r="CG24" s="2">
        <v>94</v>
      </c>
      <c r="CH24" s="2">
        <v>131</v>
      </c>
      <c r="CI24" s="7">
        <v>124</v>
      </c>
      <c r="CJ24" s="2">
        <v>120</v>
      </c>
      <c r="CK24" s="2">
        <v>108</v>
      </c>
      <c r="CL24" s="2">
        <v>130</v>
      </c>
      <c r="CM24" s="7">
        <v>115</v>
      </c>
      <c r="CN24" s="2">
        <v>186</v>
      </c>
      <c r="CO24" s="2">
        <v>113</v>
      </c>
      <c r="CP24" s="2">
        <v>161</v>
      </c>
    </row>
    <row r="25" spans="1:94" x14ac:dyDescent="0.45">
      <c r="B25" s="19" t="s">
        <v>6</v>
      </c>
      <c r="C25" s="39" t="s">
        <v>39</v>
      </c>
      <c r="D25" s="39" t="s">
        <v>39</v>
      </c>
      <c r="E25" s="39" t="s">
        <v>39</v>
      </c>
      <c r="F25" s="39" t="s">
        <v>39</v>
      </c>
      <c r="G25" s="77" t="s">
        <v>39</v>
      </c>
      <c r="H25" s="39" t="s">
        <v>39</v>
      </c>
      <c r="I25" s="39" t="s">
        <v>39</v>
      </c>
      <c r="J25" s="39" t="s">
        <v>39</v>
      </c>
      <c r="K25" s="77" t="s">
        <v>39</v>
      </c>
      <c r="L25" s="39" t="s">
        <v>39</v>
      </c>
      <c r="M25" s="39" t="s">
        <v>39</v>
      </c>
      <c r="N25" s="39" t="s">
        <v>39</v>
      </c>
      <c r="O25" s="77" t="s">
        <v>39</v>
      </c>
      <c r="P25" s="39" t="s">
        <v>39</v>
      </c>
      <c r="Q25" s="39" t="s">
        <v>39</v>
      </c>
      <c r="R25" s="39" t="s">
        <v>39</v>
      </c>
      <c r="S25" s="77" t="s">
        <v>39</v>
      </c>
      <c r="T25" s="39" t="s">
        <v>39</v>
      </c>
      <c r="U25" s="39" t="s">
        <v>39</v>
      </c>
      <c r="V25" s="39" t="s">
        <v>39</v>
      </c>
      <c r="W25" s="77" t="s">
        <v>39</v>
      </c>
      <c r="X25" s="39" t="s">
        <v>39</v>
      </c>
      <c r="Y25" s="39" t="s">
        <v>39</v>
      </c>
      <c r="Z25" s="39" t="s">
        <v>39</v>
      </c>
      <c r="AA25" s="77" t="s">
        <v>39</v>
      </c>
      <c r="AB25" s="39" t="s">
        <v>39</v>
      </c>
      <c r="AC25" s="39" t="s">
        <v>39</v>
      </c>
      <c r="AD25" s="39" t="s">
        <v>39</v>
      </c>
      <c r="AE25" s="77" t="s">
        <v>39</v>
      </c>
      <c r="AF25" s="39" t="s">
        <v>39</v>
      </c>
      <c r="AG25" s="39" t="s">
        <v>39</v>
      </c>
      <c r="AH25" s="39" t="s">
        <v>39</v>
      </c>
      <c r="AI25" s="77" t="s">
        <v>39</v>
      </c>
      <c r="AJ25" s="39" t="s">
        <v>39</v>
      </c>
      <c r="AK25" s="39" t="s">
        <v>39</v>
      </c>
      <c r="AL25" s="39" t="s">
        <v>39</v>
      </c>
      <c r="AM25" s="77" t="s">
        <v>39</v>
      </c>
      <c r="AN25" s="39" t="s">
        <v>39</v>
      </c>
      <c r="AO25" s="39" t="s">
        <v>39</v>
      </c>
      <c r="AP25" s="39" t="s">
        <v>39</v>
      </c>
      <c r="AQ25" s="77" t="s">
        <v>39</v>
      </c>
      <c r="AR25" s="39" t="s">
        <v>39</v>
      </c>
      <c r="AS25" s="39" t="s">
        <v>39</v>
      </c>
      <c r="AT25" s="39" t="s">
        <v>39</v>
      </c>
      <c r="AU25" s="77" t="s">
        <v>39</v>
      </c>
      <c r="AV25" s="39" t="s">
        <v>39</v>
      </c>
      <c r="AW25" s="39" t="s">
        <v>39</v>
      </c>
      <c r="AX25" s="39" t="s">
        <v>39</v>
      </c>
      <c r="AY25" s="77" t="s">
        <v>39</v>
      </c>
      <c r="AZ25" s="39" t="s">
        <v>39</v>
      </c>
      <c r="BA25" s="39" t="s">
        <v>39</v>
      </c>
      <c r="BB25" s="39" t="s">
        <v>39</v>
      </c>
      <c r="BC25" s="77" t="s">
        <v>39</v>
      </c>
      <c r="BD25" s="39" t="s">
        <v>39</v>
      </c>
      <c r="BE25" s="39" t="s">
        <v>39</v>
      </c>
      <c r="BF25" s="39" t="s">
        <v>39</v>
      </c>
      <c r="BG25" s="77" t="s">
        <v>39</v>
      </c>
      <c r="BH25" s="39" t="s">
        <v>39</v>
      </c>
      <c r="BI25" s="39" t="s">
        <v>39</v>
      </c>
      <c r="BJ25" s="39" t="s">
        <v>39</v>
      </c>
      <c r="BK25" s="77" t="s">
        <v>39</v>
      </c>
      <c r="BL25" s="39" t="s">
        <v>39</v>
      </c>
      <c r="BM25" s="39" t="s">
        <v>39</v>
      </c>
      <c r="BN25" s="39" t="s">
        <v>39</v>
      </c>
      <c r="BO25" s="77" t="s">
        <v>39</v>
      </c>
      <c r="BP25" s="39" t="s">
        <v>39</v>
      </c>
      <c r="BQ25" s="39" t="s">
        <v>39</v>
      </c>
      <c r="BR25" s="39" t="s">
        <v>39</v>
      </c>
      <c r="BS25" s="77" t="s">
        <v>39</v>
      </c>
      <c r="BT25" s="39" t="s">
        <v>39</v>
      </c>
      <c r="BU25" s="39" t="s">
        <v>39</v>
      </c>
      <c r="BV25" s="39" t="s">
        <v>39</v>
      </c>
      <c r="BW25" s="77" t="s">
        <v>39</v>
      </c>
      <c r="BX25" s="39" t="s">
        <v>39</v>
      </c>
      <c r="BY25" s="39" t="s">
        <v>39</v>
      </c>
      <c r="BZ25" s="39" t="s">
        <v>39</v>
      </c>
      <c r="CA25" s="7">
        <v>1</v>
      </c>
      <c r="CB25" s="2">
        <v>2</v>
      </c>
      <c r="CC25" s="2">
        <v>-1</v>
      </c>
      <c r="CD25" s="2">
        <v>-7</v>
      </c>
      <c r="CE25" s="7">
        <v>0</v>
      </c>
      <c r="CF25" s="2">
        <v>0</v>
      </c>
      <c r="CG25" s="2">
        <v>0</v>
      </c>
      <c r="CH25" s="2">
        <v>6</v>
      </c>
      <c r="CI25" s="7">
        <v>10</v>
      </c>
      <c r="CJ25" s="2">
        <v>13</v>
      </c>
      <c r="CK25" s="2">
        <v>10</v>
      </c>
      <c r="CL25" s="2">
        <v>10</v>
      </c>
      <c r="CM25" s="7">
        <v>10</v>
      </c>
      <c r="CN25" s="2">
        <v>34</v>
      </c>
      <c r="CO25" s="2">
        <v>17</v>
      </c>
      <c r="CP25" s="2">
        <v>8</v>
      </c>
    </row>
    <row r="26" spans="1:94" x14ac:dyDescent="0.45">
      <c r="B26" s="20" t="s">
        <v>7</v>
      </c>
      <c r="C26" s="48" t="s">
        <v>39</v>
      </c>
      <c r="D26" s="48" t="s">
        <v>39</v>
      </c>
      <c r="E26" s="48" t="s">
        <v>39</v>
      </c>
      <c r="F26" s="48" t="s">
        <v>39</v>
      </c>
      <c r="G26" s="82" t="s">
        <v>39</v>
      </c>
      <c r="H26" s="48" t="s">
        <v>39</v>
      </c>
      <c r="I26" s="48" t="s">
        <v>39</v>
      </c>
      <c r="J26" s="48" t="s">
        <v>39</v>
      </c>
      <c r="K26" s="82" t="s">
        <v>39</v>
      </c>
      <c r="L26" s="48" t="s">
        <v>39</v>
      </c>
      <c r="M26" s="48" t="s">
        <v>39</v>
      </c>
      <c r="N26" s="48" t="s">
        <v>39</v>
      </c>
      <c r="O26" s="82" t="s">
        <v>39</v>
      </c>
      <c r="P26" s="48" t="s">
        <v>39</v>
      </c>
      <c r="Q26" s="48" t="s">
        <v>39</v>
      </c>
      <c r="R26" s="48" t="s">
        <v>39</v>
      </c>
      <c r="S26" s="82" t="s">
        <v>39</v>
      </c>
      <c r="T26" s="48" t="s">
        <v>39</v>
      </c>
      <c r="U26" s="48" t="s">
        <v>39</v>
      </c>
      <c r="V26" s="48" t="s">
        <v>39</v>
      </c>
      <c r="W26" s="82" t="s">
        <v>39</v>
      </c>
      <c r="X26" s="48" t="s">
        <v>39</v>
      </c>
      <c r="Y26" s="48" t="s">
        <v>39</v>
      </c>
      <c r="Z26" s="48" t="s">
        <v>39</v>
      </c>
      <c r="AA26" s="82" t="s">
        <v>39</v>
      </c>
      <c r="AB26" s="48" t="s">
        <v>39</v>
      </c>
      <c r="AC26" s="48" t="s">
        <v>39</v>
      </c>
      <c r="AD26" s="48" t="s">
        <v>39</v>
      </c>
      <c r="AE26" s="82" t="s">
        <v>39</v>
      </c>
      <c r="AF26" s="48" t="s">
        <v>39</v>
      </c>
      <c r="AG26" s="48" t="s">
        <v>39</v>
      </c>
      <c r="AH26" s="48" t="s">
        <v>39</v>
      </c>
      <c r="AI26" s="82" t="s">
        <v>39</v>
      </c>
      <c r="AJ26" s="48" t="s">
        <v>39</v>
      </c>
      <c r="AK26" s="48" t="s">
        <v>39</v>
      </c>
      <c r="AL26" s="48" t="s">
        <v>39</v>
      </c>
      <c r="AM26" s="82" t="s">
        <v>39</v>
      </c>
      <c r="AN26" s="48" t="s">
        <v>39</v>
      </c>
      <c r="AO26" s="48" t="s">
        <v>39</v>
      </c>
      <c r="AP26" s="48" t="s">
        <v>39</v>
      </c>
      <c r="AQ26" s="82" t="s">
        <v>39</v>
      </c>
      <c r="AR26" s="48" t="s">
        <v>39</v>
      </c>
      <c r="AS26" s="48" t="s">
        <v>39</v>
      </c>
      <c r="AT26" s="48" t="s">
        <v>39</v>
      </c>
      <c r="AU26" s="82" t="s">
        <v>39</v>
      </c>
      <c r="AV26" s="48" t="s">
        <v>39</v>
      </c>
      <c r="AW26" s="48" t="s">
        <v>39</v>
      </c>
      <c r="AX26" s="48" t="s">
        <v>39</v>
      </c>
      <c r="AY26" s="82" t="s">
        <v>39</v>
      </c>
      <c r="AZ26" s="48" t="s">
        <v>39</v>
      </c>
      <c r="BA26" s="48" t="s">
        <v>39</v>
      </c>
      <c r="BB26" s="48" t="s">
        <v>39</v>
      </c>
      <c r="BC26" s="82" t="s">
        <v>39</v>
      </c>
      <c r="BD26" s="48" t="s">
        <v>39</v>
      </c>
      <c r="BE26" s="48" t="s">
        <v>39</v>
      </c>
      <c r="BF26" s="48" t="s">
        <v>39</v>
      </c>
      <c r="BG26" s="82" t="s">
        <v>39</v>
      </c>
      <c r="BH26" s="48" t="s">
        <v>39</v>
      </c>
      <c r="BI26" s="48" t="s">
        <v>39</v>
      </c>
      <c r="BJ26" s="48" t="s">
        <v>39</v>
      </c>
      <c r="BK26" s="82" t="s">
        <v>39</v>
      </c>
      <c r="BL26" s="48" t="s">
        <v>39</v>
      </c>
      <c r="BM26" s="48" t="s">
        <v>39</v>
      </c>
      <c r="BN26" s="48" t="s">
        <v>39</v>
      </c>
      <c r="BO26" s="82" t="s">
        <v>39</v>
      </c>
      <c r="BP26" s="48" t="s">
        <v>39</v>
      </c>
      <c r="BQ26" s="48" t="s">
        <v>39</v>
      </c>
      <c r="BR26" s="48" t="s">
        <v>39</v>
      </c>
      <c r="BS26" s="82" t="s">
        <v>39</v>
      </c>
      <c r="BT26" s="48" t="s">
        <v>39</v>
      </c>
      <c r="BU26" s="48" t="s">
        <v>39</v>
      </c>
      <c r="BV26" s="48" t="s">
        <v>39</v>
      </c>
      <c r="BW26" s="82" t="s">
        <v>39</v>
      </c>
      <c r="BX26" s="48" t="s">
        <v>39</v>
      </c>
      <c r="BY26" s="48" t="s">
        <v>39</v>
      </c>
      <c r="BZ26" s="48" t="s">
        <v>39</v>
      </c>
      <c r="CA26" s="8">
        <v>1.2E-2</v>
      </c>
      <c r="CB26" s="5">
        <v>2.4E-2</v>
      </c>
      <c r="CC26" s="5">
        <v>-0.02</v>
      </c>
      <c r="CD26" s="5">
        <v>-6.8000000000000005E-2</v>
      </c>
      <c r="CE26" s="8">
        <v>1.0999999999999999E-2</v>
      </c>
      <c r="CF26" s="5">
        <v>8.9999999999999993E-3</v>
      </c>
      <c r="CG26" s="5">
        <v>8.0000000000000002E-3</v>
      </c>
      <c r="CH26" s="5">
        <v>4.5999999999999999E-2</v>
      </c>
      <c r="CI26" s="8">
        <v>8.6999999999999994E-2</v>
      </c>
      <c r="CJ26" s="5">
        <v>0.113</v>
      </c>
      <c r="CK26" s="5">
        <v>0.10100000000000001</v>
      </c>
      <c r="CL26" s="5">
        <v>8.4000000000000005E-2</v>
      </c>
      <c r="CM26" s="8">
        <v>9.4E-2</v>
      </c>
      <c r="CN26" s="5">
        <v>0.187</v>
      </c>
      <c r="CO26" s="5">
        <v>0.151</v>
      </c>
      <c r="CP26" s="5">
        <v>5.3999999999999999E-2</v>
      </c>
    </row>
    <row r="27" spans="1:94" x14ac:dyDescent="0.45">
      <c r="B27" s="18" t="s">
        <v>48</v>
      </c>
      <c r="C27" s="44"/>
      <c r="D27" s="44"/>
      <c r="E27" s="44"/>
      <c r="F27" s="44"/>
      <c r="G27" s="83"/>
      <c r="H27" s="44"/>
      <c r="I27" s="44"/>
      <c r="J27" s="44"/>
      <c r="K27" s="83"/>
      <c r="L27" s="44"/>
      <c r="M27" s="44"/>
      <c r="N27" s="44"/>
      <c r="O27" s="83"/>
      <c r="P27" s="44"/>
      <c r="Q27" s="44"/>
      <c r="R27" s="44"/>
      <c r="S27" s="83"/>
      <c r="T27" s="44"/>
      <c r="U27" s="44"/>
      <c r="V27" s="44"/>
      <c r="W27" s="77"/>
      <c r="X27" s="39"/>
      <c r="Y27" s="39"/>
      <c r="Z27" s="39"/>
      <c r="AA27" s="77"/>
      <c r="AB27" s="39"/>
      <c r="AC27" s="39"/>
      <c r="AD27" s="39"/>
      <c r="AE27" s="77"/>
      <c r="AF27" s="39"/>
      <c r="AG27" s="39"/>
      <c r="AH27" s="39"/>
      <c r="AI27" s="77"/>
      <c r="AJ27" s="39"/>
      <c r="AK27" s="39"/>
      <c r="AL27" s="39"/>
      <c r="AM27" s="77"/>
      <c r="AN27" s="39"/>
      <c r="AO27" s="39"/>
      <c r="AP27" s="39"/>
      <c r="AQ27" s="77"/>
      <c r="AR27" s="39"/>
      <c r="AS27" s="39"/>
      <c r="AT27" s="39"/>
      <c r="AU27" s="77"/>
      <c r="AV27" s="39"/>
      <c r="AW27" s="39"/>
      <c r="AX27" s="39"/>
      <c r="AY27" s="77"/>
      <c r="AZ27" s="39"/>
      <c r="BA27" s="39"/>
      <c r="BB27" s="39"/>
      <c r="BC27" s="77"/>
      <c r="BD27" s="39"/>
      <c r="BE27" s="39"/>
      <c r="BF27" s="39"/>
      <c r="BG27" s="77"/>
      <c r="BH27" s="39"/>
      <c r="BI27" s="39"/>
      <c r="BJ27" s="39"/>
      <c r="BK27" s="77"/>
      <c r="BL27" s="39"/>
      <c r="BM27" s="39"/>
      <c r="BN27" s="39"/>
      <c r="BO27" s="77"/>
      <c r="BP27" s="39"/>
      <c r="BQ27" s="39"/>
      <c r="BR27" s="39"/>
      <c r="BS27" s="77"/>
      <c r="BT27" s="39"/>
      <c r="BU27" s="39"/>
      <c r="BV27" s="39"/>
      <c r="BW27" s="77"/>
      <c r="BX27" s="39"/>
      <c r="BY27" s="39"/>
      <c r="BZ27" s="39"/>
      <c r="CA27" s="9"/>
      <c r="CE27" s="9"/>
      <c r="CI27" s="9"/>
      <c r="CM27" s="6"/>
    </row>
    <row r="28" spans="1:94" x14ac:dyDescent="0.45">
      <c r="B28" s="19" t="s">
        <v>4</v>
      </c>
      <c r="C28" s="39" t="s">
        <v>39</v>
      </c>
      <c r="D28" s="39" t="s">
        <v>39</v>
      </c>
      <c r="E28" s="39" t="s">
        <v>39</v>
      </c>
      <c r="F28" s="39" t="s">
        <v>39</v>
      </c>
      <c r="G28" s="77" t="s">
        <v>39</v>
      </c>
      <c r="H28" s="39" t="s">
        <v>39</v>
      </c>
      <c r="I28" s="39" t="s">
        <v>39</v>
      </c>
      <c r="J28" s="39" t="s">
        <v>39</v>
      </c>
      <c r="K28" s="77" t="s">
        <v>39</v>
      </c>
      <c r="L28" s="39" t="s">
        <v>39</v>
      </c>
      <c r="M28" s="39" t="s">
        <v>39</v>
      </c>
      <c r="N28" s="39" t="s">
        <v>39</v>
      </c>
      <c r="O28" s="77" t="s">
        <v>39</v>
      </c>
      <c r="P28" s="39" t="s">
        <v>39</v>
      </c>
      <c r="Q28" s="39" t="s">
        <v>39</v>
      </c>
      <c r="R28" s="39" t="s">
        <v>39</v>
      </c>
      <c r="S28" s="77" t="s">
        <v>39</v>
      </c>
      <c r="T28" s="39" t="s">
        <v>39</v>
      </c>
      <c r="U28" s="39" t="s">
        <v>39</v>
      </c>
      <c r="V28" s="39" t="s">
        <v>39</v>
      </c>
      <c r="W28" s="77" t="s">
        <v>39</v>
      </c>
      <c r="X28" s="39" t="s">
        <v>39</v>
      </c>
      <c r="Y28" s="39" t="s">
        <v>39</v>
      </c>
      <c r="Z28" s="39" t="s">
        <v>39</v>
      </c>
      <c r="AA28" s="77" t="s">
        <v>39</v>
      </c>
      <c r="AB28" s="39" t="s">
        <v>39</v>
      </c>
      <c r="AC28" s="39" t="s">
        <v>39</v>
      </c>
      <c r="AD28" s="39" t="s">
        <v>39</v>
      </c>
      <c r="AE28" s="77" t="s">
        <v>39</v>
      </c>
      <c r="AF28" s="39" t="s">
        <v>39</v>
      </c>
      <c r="AG28" s="39" t="s">
        <v>39</v>
      </c>
      <c r="AH28" s="39" t="s">
        <v>39</v>
      </c>
      <c r="AI28" s="77" t="s">
        <v>39</v>
      </c>
      <c r="AJ28" s="39" t="s">
        <v>39</v>
      </c>
      <c r="AK28" s="39" t="s">
        <v>39</v>
      </c>
      <c r="AL28" s="39" t="s">
        <v>39</v>
      </c>
      <c r="AM28" s="77" t="s">
        <v>39</v>
      </c>
      <c r="AN28" s="39" t="s">
        <v>39</v>
      </c>
      <c r="AO28" s="39" t="s">
        <v>39</v>
      </c>
      <c r="AP28" s="39" t="s">
        <v>39</v>
      </c>
      <c r="AQ28" s="77" t="s">
        <v>39</v>
      </c>
      <c r="AR28" s="39" t="s">
        <v>39</v>
      </c>
      <c r="AS28" s="39" t="s">
        <v>39</v>
      </c>
      <c r="AT28" s="39" t="s">
        <v>39</v>
      </c>
      <c r="AU28" s="77" t="s">
        <v>39</v>
      </c>
      <c r="AV28" s="39" t="s">
        <v>39</v>
      </c>
      <c r="AW28" s="39" t="s">
        <v>39</v>
      </c>
      <c r="AX28" s="39" t="s">
        <v>39</v>
      </c>
      <c r="AY28" s="77" t="s">
        <v>39</v>
      </c>
      <c r="AZ28" s="39" t="s">
        <v>39</v>
      </c>
      <c r="BA28" s="39" t="s">
        <v>39</v>
      </c>
      <c r="BB28" s="39" t="s">
        <v>39</v>
      </c>
      <c r="BC28" s="77" t="s">
        <v>39</v>
      </c>
      <c r="BD28" s="39" t="s">
        <v>39</v>
      </c>
      <c r="BE28" s="39" t="s">
        <v>39</v>
      </c>
      <c r="BF28" s="39" t="s">
        <v>39</v>
      </c>
      <c r="BG28" s="77" t="s">
        <v>39</v>
      </c>
      <c r="BH28" s="39" t="s">
        <v>39</v>
      </c>
      <c r="BI28" s="39" t="s">
        <v>39</v>
      </c>
      <c r="BJ28" s="39" t="s">
        <v>39</v>
      </c>
      <c r="BK28" s="77" t="s">
        <v>39</v>
      </c>
      <c r="BL28" s="39" t="s">
        <v>39</v>
      </c>
      <c r="BM28" s="39" t="s">
        <v>39</v>
      </c>
      <c r="BN28" s="39" t="s">
        <v>39</v>
      </c>
      <c r="BO28" s="77" t="s">
        <v>39</v>
      </c>
      <c r="BP28" s="39" t="s">
        <v>39</v>
      </c>
      <c r="BQ28" s="39" t="s">
        <v>39</v>
      </c>
      <c r="BR28" s="39" t="s">
        <v>39</v>
      </c>
      <c r="BS28" s="77" t="s">
        <v>39</v>
      </c>
      <c r="BT28" s="39" t="s">
        <v>39</v>
      </c>
      <c r="BU28" s="39" t="s">
        <v>39</v>
      </c>
      <c r="BV28" s="39" t="s">
        <v>39</v>
      </c>
      <c r="BW28" s="77" t="s">
        <v>39</v>
      </c>
      <c r="BX28" s="39" t="s">
        <v>39</v>
      </c>
      <c r="BY28" s="39" t="s">
        <v>39</v>
      </c>
      <c r="BZ28" s="39" t="s">
        <v>39</v>
      </c>
      <c r="CA28" s="7">
        <v>137</v>
      </c>
      <c r="CB28" s="2">
        <v>180</v>
      </c>
      <c r="CC28" s="2">
        <v>162</v>
      </c>
      <c r="CD28" s="2">
        <v>127</v>
      </c>
      <c r="CE28" s="7">
        <v>54</v>
      </c>
      <c r="CF28" s="2">
        <v>79</v>
      </c>
      <c r="CG28" s="2">
        <v>85</v>
      </c>
      <c r="CH28" s="2">
        <v>90</v>
      </c>
      <c r="CI28" s="7">
        <v>82</v>
      </c>
      <c r="CJ28" s="2">
        <v>94</v>
      </c>
      <c r="CK28" s="2">
        <v>111</v>
      </c>
      <c r="CL28" s="2">
        <v>104</v>
      </c>
      <c r="CM28" s="7">
        <v>113</v>
      </c>
      <c r="CN28" s="2">
        <v>119</v>
      </c>
      <c r="CO28" s="2">
        <v>129</v>
      </c>
      <c r="CP28" s="2">
        <v>150</v>
      </c>
    </row>
    <row r="29" spans="1:94" x14ac:dyDescent="0.45">
      <c r="A29" t="s">
        <v>8</v>
      </c>
      <c r="B29" s="19" t="s">
        <v>6</v>
      </c>
      <c r="C29" s="16" t="s">
        <v>39</v>
      </c>
      <c r="D29" s="16" t="s">
        <v>39</v>
      </c>
      <c r="E29" s="16" t="s">
        <v>39</v>
      </c>
      <c r="F29" s="16" t="s">
        <v>39</v>
      </c>
      <c r="G29" s="17" t="s">
        <v>39</v>
      </c>
      <c r="H29" s="16" t="s">
        <v>39</v>
      </c>
      <c r="I29" s="16" t="s">
        <v>39</v>
      </c>
      <c r="J29" s="16" t="s">
        <v>39</v>
      </c>
      <c r="K29" s="17" t="s">
        <v>39</v>
      </c>
      <c r="L29" s="16" t="s">
        <v>39</v>
      </c>
      <c r="M29" s="16" t="s">
        <v>39</v>
      </c>
      <c r="N29" s="16" t="s">
        <v>39</v>
      </c>
      <c r="O29" s="17" t="s">
        <v>39</v>
      </c>
      <c r="P29" s="16" t="s">
        <v>39</v>
      </c>
      <c r="Q29" s="16" t="s">
        <v>39</v>
      </c>
      <c r="R29" s="16" t="s">
        <v>39</v>
      </c>
      <c r="S29" s="17" t="s">
        <v>39</v>
      </c>
      <c r="T29" s="16" t="s">
        <v>39</v>
      </c>
      <c r="U29" s="16" t="s">
        <v>39</v>
      </c>
      <c r="V29" s="16" t="s">
        <v>39</v>
      </c>
      <c r="W29" s="17" t="s">
        <v>39</v>
      </c>
      <c r="X29" s="16" t="s">
        <v>39</v>
      </c>
      <c r="Y29" s="16" t="s">
        <v>39</v>
      </c>
      <c r="Z29" s="16" t="s">
        <v>39</v>
      </c>
      <c r="AA29" s="17" t="s">
        <v>39</v>
      </c>
      <c r="AB29" s="16" t="s">
        <v>39</v>
      </c>
      <c r="AC29" s="16" t="s">
        <v>39</v>
      </c>
      <c r="AD29" s="16" t="s">
        <v>39</v>
      </c>
      <c r="AE29" s="17" t="s">
        <v>39</v>
      </c>
      <c r="AF29" s="16" t="s">
        <v>39</v>
      </c>
      <c r="AG29" s="16" t="s">
        <v>39</v>
      </c>
      <c r="AH29" s="16" t="s">
        <v>39</v>
      </c>
      <c r="AI29" s="17" t="s">
        <v>39</v>
      </c>
      <c r="AJ29" s="16" t="s">
        <v>39</v>
      </c>
      <c r="AK29" s="16" t="s">
        <v>39</v>
      </c>
      <c r="AL29" s="16" t="s">
        <v>39</v>
      </c>
      <c r="AM29" s="17" t="s">
        <v>39</v>
      </c>
      <c r="AN29" s="16" t="s">
        <v>39</v>
      </c>
      <c r="AO29" s="16" t="s">
        <v>39</v>
      </c>
      <c r="AP29" s="16" t="s">
        <v>39</v>
      </c>
      <c r="AQ29" s="17" t="s">
        <v>39</v>
      </c>
      <c r="AR29" s="16" t="s">
        <v>39</v>
      </c>
      <c r="AS29" s="16" t="s">
        <v>39</v>
      </c>
      <c r="AT29" s="16" t="s">
        <v>39</v>
      </c>
      <c r="AU29" s="17" t="s">
        <v>39</v>
      </c>
      <c r="AV29" s="16" t="s">
        <v>39</v>
      </c>
      <c r="AW29" s="16" t="s">
        <v>39</v>
      </c>
      <c r="AX29" s="16" t="s">
        <v>39</v>
      </c>
      <c r="AY29" s="17" t="s">
        <v>39</v>
      </c>
      <c r="AZ29" s="16" t="s">
        <v>39</v>
      </c>
      <c r="BA29" s="16" t="s">
        <v>39</v>
      </c>
      <c r="BB29" s="16" t="s">
        <v>39</v>
      </c>
      <c r="BC29" s="17" t="s">
        <v>39</v>
      </c>
      <c r="BD29" s="16" t="s">
        <v>39</v>
      </c>
      <c r="BE29" s="16" t="s">
        <v>39</v>
      </c>
      <c r="BF29" s="16" t="s">
        <v>39</v>
      </c>
      <c r="BG29" s="17" t="s">
        <v>39</v>
      </c>
      <c r="BH29" s="16" t="s">
        <v>39</v>
      </c>
      <c r="BI29" s="16" t="s">
        <v>39</v>
      </c>
      <c r="BJ29" s="16" t="s">
        <v>39</v>
      </c>
      <c r="BK29" s="17" t="s">
        <v>39</v>
      </c>
      <c r="BL29" s="16" t="s">
        <v>39</v>
      </c>
      <c r="BM29" s="16" t="s">
        <v>39</v>
      </c>
      <c r="BN29" s="16" t="s">
        <v>39</v>
      </c>
      <c r="BO29" s="17" t="s">
        <v>39</v>
      </c>
      <c r="BP29" s="16" t="s">
        <v>39</v>
      </c>
      <c r="BQ29" s="16" t="s">
        <v>39</v>
      </c>
      <c r="BR29" s="16" t="s">
        <v>39</v>
      </c>
      <c r="BS29" s="17" t="s">
        <v>39</v>
      </c>
      <c r="BT29" s="16" t="s">
        <v>39</v>
      </c>
      <c r="BU29" s="16" t="s">
        <v>39</v>
      </c>
      <c r="BV29" s="16" t="s">
        <v>39</v>
      </c>
      <c r="BW29" s="17" t="s">
        <v>39</v>
      </c>
      <c r="BX29" s="16" t="s">
        <v>39</v>
      </c>
      <c r="BY29" s="16" t="s">
        <v>39</v>
      </c>
      <c r="BZ29" s="16" t="s">
        <v>39</v>
      </c>
      <c r="CA29" s="17" t="s">
        <v>33</v>
      </c>
      <c r="CB29" s="2">
        <v>7</v>
      </c>
      <c r="CC29" s="2">
        <v>5</v>
      </c>
      <c r="CD29" s="2">
        <v>-3</v>
      </c>
      <c r="CE29" s="7">
        <v>-12</v>
      </c>
      <c r="CF29" s="2">
        <v>-6</v>
      </c>
      <c r="CG29" s="2">
        <v>-2</v>
      </c>
      <c r="CH29" s="2">
        <v>-12</v>
      </c>
      <c r="CI29" s="7">
        <v>-4</v>
      </c>
      <c r="CJ29" s="2">
        <v>0</v>
      </c>
      <c r="CK29" s="2">
        <v>5</v>
      </c>
      <c r="CL29" s="2">
        <v>-1</v>
      </c>
      <c r="CM29" s="7">
        <v>2</v>
      </c>
      <c r="CN29" s="2">
        <v>0</v>
      </c>
      <c r="CO29" s="2">
        <v>-5</v>
      </c>
      <c r="CP29" s="2">
        <v>-4</v>
      </c>
    </row>
    <row r="30" spans="1:94" x14ac:dyDescent="0.45">
      <c r="B30" s="20" t="s">
        <v>7</v>
      </c>
      <c r="C30" s="48" t="s">
        <v>39</v>
      </c>
      <c r="D30" s="48" t="s">
        <v>39</v>
      </c>
      <c r="E30" s="48" t="s">
        <v>39</v>
      </c>
      <c r="F30" s="48" t="s">
        <v>39</v>
      </c>
      <c r="G30" s="82" t="s">
        <v>39</v>
      </c>
      <c r="H30" s="48" t="s">
        <v>39</v>
      </c>
      <c r="I30" s="48" t="s">
        <v>39</v>
      </c>
      <c r="J30" s="48" t="s">
        <v>39</v>
      </c>
      <c r="K30" s="82" t="s">
        <v>39</v>
      </c>
      <c r="L30" s="48" t="s">
        <v>39</v>
      </c>
      <c r="M30" s="48" t="s">
        <v>39</v>
      </c>
      <c r="N30" s="48" t="s">
        <v>39</v>
      </c>
      <c r="O30" s="82" t="s">
        <v>39</v>
      </c>
      <c r="P30" s="48" t="s">
        <v>39</v>
      </c>
      <c r="Q30" s="48" t="s">
        <v>39</v>
      </c>
      <c r="R30" s="48" t="s">
        <v>39</v>
      </c>
      <c r="S30" s="82" t="s">
        <v>39</v>
      </c>
      <c r="T30" s="48" t="s">
        <v>39</v>
      </c>
      <c r="U30" s="48" t="s">
        <v>39</v>
      </c>
      <c r="V30" s="48" t="s">
        <v>39</v>
      </c>
      <c r="W30" s="82" t="s">
        <v>39</v>
      </c>
      <c r="X30" s="48" t="s">
        <v>39</v>
      </c>
      <c r="Y30" s="48" t="s">
        <v>39</v>
      </c>
      <c r="Z30" s="48" t="s">
        <v>39</v>
      </c>
      <c r="AA30" s="82" t="s">
        <v>39</v>
      </c>
      <c r="AB30" s="48" t="s">
        <v>39</v>
      </c>
      <c r="AC30" s="48" t="s">
        <v>39</v>
      </c>
      <c r="AD30" s="48" t="s">
        <v>39</v>
      </c>
      <c r="AE30" s="82" t="s">
        <v>39</v>
      </c>
      <c r="AF30" s="48" t="s">
        <v>39</v>
      </c>
      <c r="AG30" s="48" t="s">
        <v>39</v>
      </c>
      <c r="AH30" s="48" t="s">
        <v>39</v>
      </c>
      <c r="AI30" s="82" t="s">
        <v>39</v>
      </c>
      <c r="AJ30" s="48" t="s">
        <v>39</v>
      </c>
      <c r="AK30" s="48" t="s">
        <v>39</v>
      </c>
      <c r="AL30" s="48" t="s">
        <v>39</v>
      </c>
      <c r="AM30" s="82" t="s">
        <v>39</v>
      </c>
      <c r="AN30" s="48" t="s">
        <v>39</v>
      </c>
      <c r="AO30" s="48" t="s">
        <v>39</v>
      </c>
      <c r="AP30" s="48" t="s">
        <v>39</v>
      </c>
      <c r="AQ30" s="82" t="s">
        <v>39</v>
      </c>
      <c r="AR30" s="48" t="s">
        <v>39</v>
      </c>
      <c r="AS30" s="48" t="s">
        <v>39</v>
      </c>
      <c r="AT30" s="48" t="s">
        <v>39</v>
      </c>
      <c r="AU30" s="82" t="s">
        <v>39</v>
      </c>
      <c r="AV30" s="48" t="s">
        <v>39</v>
      </c>
      <c r="AW30" s="48" t="s">
        <v>39</v>
      </c>
      <c r="AX30" s="48" t="s">
        <v>39</v>
      </c>
      <c r="AY30" s="82" t="s">
        <v>39</v>
      </c>
      <c r="AZ30" s="48" t="s">
        <v>39</v>
      </c>
      <c r="BA30" s="48" t="s">
        <v>39</v>
      </c>
      <c r="BB30" s="48" t="s">
        <v>39</v>
      </c>
      <c r="BC30" s="82" t="s">
        <v>39</v>
      </c>
      <c r="BD30" s="48" t="s">
        <v>39</v>
      </c>
      <c r="BE30" s="48" t="s">
        <v>39</v>
      </c>
      <c r="BF30" s="48" t="s">
        <v>39</v>
      </c>
      <c r="BG30" s="82" t="s">
        <v>39</v>
      </c>
      <c r="BH30" s="48" t="s">
        <v>39</v>
      </c>
      <c r="BI30" s="48" t="s">
        <v>39</v>
      </c>
      <c r="BJ30" s="48" t="s">
        <v>39</v>
      </c>
      <c r="BK30" s="82" t="s">
        <v>39</v>
      </c>
      <c r="BL30" s="48" t="s">
        <v>39</v>
      </c>
      <c r="BM30" s="48" t="s">
        <v>39</v>
      </c>
      <c r="BN30" s="48" t="s">
        <v>39</v>
      </c>
      <c r="BO30" s="82" t="s">
        <v>39</v>
      </c>
      <c r="BP30" s="48" t="s">
        <v>39</v>
      </c>
      <c r="BQ30" s="48" t="s">
        <v>39</v>
      </c>
      <c r="BR30" s="48" t="s">
        <v>39</v>
      </c>
      <c r="BS30" s="82" t="s">
        <v>39</v>
      </c>
      <c r="BT30" s="48" t="s">
        <v>39</v>
      </c>
      <c r="BU30" s="48" t="s">
        <v>39</v>
      </c>
      <c r="BV30" s="48" t="s">
        <v>39</v>
      </c>
      <c r="BW30" s="82" t="s">
        <v>39</v>
      </c>
      <c r="BX30" s="48" t="s">
        <v>39</v>
      </c>
      <c r="BY30" s="48" t="s">
        <v>39</v>
      </c>
      <c r="BZ30" s="48" t="s">
        <v>39</v>
      </c>
      <c r="CA30" s="8">
        <v>-2E-3</v>
      </c>
      <c r="CB30" s="5">
        <v>0.04</v>
      </c>
      <c r="CC30" s="5">
        <v>3.4000000000000002E-2</v>
      </c>
      <c r="CD30" s="5">
        <v>-2.7E-2</v>
      </c>
      <c r="CE30" s="8">
        <v>-0.23899999999999999</v>
      </c>
      <c r="CF30" s="5">
        <v>-0.08</v>
      </c>
      <c r="CG30" s="5">
        <v>-3.3000000000000002E-2</v>
      </c>
      <c r="CH30" s="5">
        <v>-0.14099999999999999</v>
      </c>
      <c r="CI30" s="8">
        <v>-5.8000000000000003E-2</v>
      </c>
      <c r="CJ30" s="5">
        <v>3.0000000000000001E-3</v>
      </c>
      <c r="CK30" s="5">
        <v>4.9000000000000002E-2</v>
      </c>
      <c r="CL30" s="5">
        <v>-1.4E-2</v>
      </c>
      <c r="CM30" s="8">
        <v>2.1999999999999999E-2</v>
      </c>
      <c r="CN30" s="5">
        <v>2E-3</v>
      </c>
      <c r="CO30" s="5">
        <v>-3.9E-2</v>
      </c>
      <c r="CP30" s="5">
        <v>-2.7E-2</v>
      </c>
    </row>
    <row r="31" spans="1:94" x14ac:dyDescent="0.45">
      <c r="B31" s="18" t="s">
        <v>59</v>
      </c>
      <c r="C31" s="44"/>
      <c r="D31" s="44"/>
      <c r="E31" s="44"/>
      <c r="F31" s="44"/>
      <c r="G31" s="83"/>
      <c r="H31" s="44"/>
      <c r="I31" s="44"/>
      <c r="J31" s="44"/>
      <c r="K31" s="83"/>
      <c r="L31" s="44"/>
      <c r="M31" s="44"/>
      <c r="N31" s="44"/>
      <c r="O31" s="83"/>
      <c r="P31" s="44"/>
      <c r="Q31" s="44"/>
      <c r="R31" s="44"/>
      <c r="S31" s="83"/>
      <c r="T31" s="44"/>
      <c r="U31" s="44"/>
      <c r="V31" s="44"/>
      <c r="W31" s="9"/>
      <c r="AA31" s="9"/>
      <c r="AE31" s="9"/>
      <c r="AI31" s="9"/>
      <c r="AM31" s="9"/>
      <c r="AQ31" s="9"/>
      <c r="AU31" s="9"/>
      <c r="AY31" s="9"/>
      <c r="BC31" s="9"/>
      <c r="BG31" s="9"/>
      <c r="BK31" s="9"/>
      <c r="BO31" s="9"/>
      <c r="BS31" s="9"/>
      <c r="BW31" s="9"/>
      <c r="CA31" s="9"/>
      <c r="CE31" s="9"/>
      <c r="CI31" s="9"/>
      <c r="CM31" s="9"/>
    </row>
    <row r="32" spans="1:94" x14ac:dyDescent="0.45">
      <c r="B32" s="19" t="s">
        <v>4</v>
      </c>
      <c r="C32" s="39" t="s">
        <v>39</v>
      </c>
      <c r="D32" s="39" t="s">
        <v>39</v>
      </c>
      <c r="E32" s="39" t="s">
        <v>39</v>
      </c>
      <c r="F32" s="39" t="s">
        <v>39</v>
      </c>
      <c r="G32" s="77" t="s">
        <v>39</v>
      </c>
      <c r="H32" s="39" t="s">
        <v>39</v>
      </c>
      <c r="I32" s="39" t="s">
        <v>39</v>
      </c>
      <c r="J32" s="39" t="s">
        <v>39</v>
      </c>
      <c r="K32" s="77" t="s">
        <v>39</v>
      </c>
      <c r="L32" s="39" t="s">
        <v>39</v>
      </c>
      <c r="M32" s="39" t="s">
        <v>39</v>
      </c>
      <c r="N32" s="39" t="s">
        <v>39</v>
      </c>
      <c r="O32" s="77" t="s">
        <v>39</v>
      </c>
      <c r="P32" s="39" t="s">
        <v>39</v>
      </c>
      <c r="Q32" s="39" t="s">
        <v>39</v>
      </c>
      <c r="R32" s="39" t="s">
        <v>39</v>
      </c>
      <c r="S32" s="77" t="s">
        <v>39</v>
      </c>
      <c r="T32" s="39" t="s">
        <v>39</v>
      </c>
      <c r="U32" s="39" t="s">
        <v>39</v>
      </c>
      <c r="V32" s="39" t="s">
        <v>39</v>
      </c>
      <c r="W32" s="7">
        <v>9</v>
      </c>
      <c r="X32" s="2">
        <v>11</v>
      </c>
      <c r="Y32" s="2">
        <v>9</v>
      </c>
      <c r="Z32" s="2">
        <v>11</v>
      </c>
      <c r="AA32" s="7">
        <v>8</v>
      </c>
      <c r="AB32" s="2">
        <v>12</v>
      </c>
      <c r="AC32" s="2">
        <v>16</v>
      </c>
      <c r="AD32" s="2">
        <v>15</v>
      </c>
      <c r="AE32" s="7">
        <v>10</v>
      </c>
      <c r="AF32" s="2">
        <v>12</v>
      </c>
      <c r="AG32" s="2">
        <v>9</v>
      </c>
      <c r="AH32" s="2">
        <v>11</v>
      </c>
      <c r="AI32" s="7">
        <v>7</v>
      </c>
      <c r="AJ32" s="2">
        <v>11</v>
      </c>
      <c r="AK32" s="2">
        <v>5</v>
      </c>
      <c r="AL32" s="2">
        <v>10</v>
      </c>
      <c r="AM32" s="7">
        <v>4</v>
      </c>
      <c r="AN32" s="2">
        <v>8</v>
      </c>
      <c r="AO32" s="2">
        <v>4</v>
      </c>
      <c r="AP32" s="2">
        <v>8</v>
      </c>
      <c r="AQ32" s="7">
        <v>6</v>
      </c>
      <c r="AR32" s="2">
        <v>6</v>
      </c>
      <c r="AS32" s="95">
        <v>6</v>
      </c>
      <c r="AT32" s="2">
        <v>10</v>
      </c>
      <c r="AU32" s="7">
        <v>6</v>
      </c>
      <c r="AV32" s="2">
        <v>9</v>
      </c>
      <c r="AW32" s="2">
        <v>7</v>
      </c>
      <c r="AX32" s="2">
        <v>9</v>
      </c>
      <c r="AY32" s="7">
        <v>9</v>
      </c>
      <c r="AZ32" s="2">
        <v>7</v>
      </c>
      <c r="BA32" s="2">
        <v>7</v>
      </c>
      <c r="BB32" s="2">
        <v>8</v>
      </c>
      <c r="BC32" s="7">
        <v>4</v>
      </c>
      <c r="BD32" s="2">
        <v>8</v>
      </c>
      <c r="BE32" s="2">
        <v>6</v>
      </c>
      <c r="BF32" s="2">
        <v>11</v>
      </c>
      <c r="BG32" s="7">
        <v>6</v>
      </c>
      <c r="BH32" s="2">
        <v>8</v>
      </c>
      <c r="BI32" s="2">
        <v>7</v>
      </c>
      <c r="BJ32" s="2">
        <v>10</v>
      </c>
      <c r="BK32" s="7">
        <v>6</v>
      </c>
      <c r="BL32" s="2">
        <v>8</v>
      </c>
      <c r="BM32" s="2">
        <v>6</v>
      </c>
      <c r="BN32" s="2">
        <v>10</v>
      </c>
      <c r="BO32" s="7">
        <v>5</v>
      </c>
      <c r="BP32" s="2">
        <v>7</v>
      </c>
      <c r="BQ32" s="2">
        <v>11</v>
      </c>
      <c r="BR32" s="2">
        <v>8</v>
      </c>
      <c r="BS32" s="7">
        <v>8</v>
      </c>
      <c r="BT32" s="2">
        <v>6</v>
      </c>
      <c r="BU32" s="2">
        <v>6</v>
      </c>
      <c r="BV32" s="2">
        <v>12</v>
      </c>
      <c r="BW32" s="7">
        <v>7</v>
      </c>
      <c r="BX32" s="2">
        <v>6</v>
      </c>
      <c r="BY32" s="2">
        <v>7</v>
      </c>
      <c r="BZ32" s="2">
        <v>11</v>
      </c>
      <c r="CA32" s="7">
        <v>7</v>
      </c>
      <c r="CB32" s="2">
        <v>9</v>
      </c>
      <c r="CC32" s="2">
        <v>7</v>
      </c>
      <c r="CD32" s="2">
        <v>9</v>
      </c>
      <c r="CE32" s="7">
        <v>6</v>
      </c>
      <c r="CF32" s="2">
        <v>5</v>
      </c>
      <c r="CG32" s="2">
        <v>7</v>
      </c>
      <c r="CH32" s="2">
        <v>8</v>
      </c>
      <c r="CI32" s="7">
        <v>6</v>
      </c>
      <c r="CJ32" s="2">
        <v>8</v>
      </c>
      <c r="CK32" s="2">
        <v>9</v>
      </c>
      <c r="CL32" s="2">
        <v>10</v>
      </c>
      <c r="CM32" s="7">
        <v>7</v>
      </c>
      <c r="CN32" s="2">
        <v>11</v>
      </c>
      <c r="CO32" s="2">
        <v>10</v>
      </c>
      <c r="CP32" s="2">
        <v>11</v>
      </c>
    </row>
    <row r="33" spans="2:94" x14ac:dyDescent="0.45">
      <c r="B33" s="19" t="s">
        <v>6</v>
      </c>
      <c r="C33" s="16" t="s">
        <v>39</v>
      </c>
      <c r="D33" s="16" t="s">
        <v>39</v>
      </c>
      <c r="E33" s="16" t="s">
        <v>39</v>
      </c>
      <c r="F33" s="16" t="s">
        <v>39</v>
      </c>
      <c r="G33" s="17" t="s">
        <v>39</v>
      </c>
      <c r="H33" s="16" t="s">
        <v>39</v>
      </c>
      <c r="I33" s="16" t="s">
        <v>39</v>
      </c>
      <c r="J33" s="16" t="s">
        <v>39</v>
      </c>
      <c r="K33" s="17" t="s">
        <v>39</v>
      </c>
      <c r="L33" s="16" t="s">
        <v>39</v>
      </c>
      <c r="M33" s="16" t="s">
        <v>39</v>
      </c>
      <c r="N33" s="16" t="s">
        <v>39</v>
      </c>
      <c r="O33" s="17" t="s">
        <v>39</v>
      </c>
      <c r="P33" s="16" t="s">
        <v>39</v>
      </c>
      <c r="Q33" s="16" t="s">
        <v>39</v>
      </c>
      <c r="R33" s="16" t="s">
        <v>39</v>
      </c>
      <c r="S33" s="17" t="s">
        <v>39</v>
      </c>
      <c r="T33" s="16" t="s">
        <v>39</v>
      </c>
      <c r="U33" s="16" t="s">
        <v>39</v>
      </c>
      <c r="V33" s="16" t="s">
        <v>39</v>
      </c>
      <c r="W33" s="17" t="s">
        <v>39</v>
      </c>
      <c r="X33" s="16" t="s">
        <v>39</v>
      </c>
      <c r="Y33" s="16" t="s">
        <v>39</v>
      </c>
      <c r="Z33" s="16" t="s">
        <v>39</v>
      </c>
      <c r="AA33" s="17" t="s">
        <v>39</v>
      </c>
      <c r="AB33" s="16" t="s">
        <v>39</v>
      </c>
      <c r="AC33" s="16" t="s">
        <v>39</v>
      </c>
      <c r="AD33" s="16" t="s">
        <v>39</v>
      </c>
      <c r="AE33" s="17" t="s">
        <v>39</v>
      </c>
      <c r="AF33" s="16" t="s">
        <v>39</v>
      </c>
      <c r="AG33" s="16" t="s">
        <v>39</v>
      </c>
      <c r="AH33" s="16" t="s">
        <v>39</v>
      </c>
      <c r="AI33" s="17" t="s">
        <v>39</v>
      </c>
      <c r="AJ33" s="16" t="s">
        <v>39</v>
      </c>
      <c r="AK33" s="16" t="s">
        <v>39</v>
      </c>
      <c r="AL33" s="16" t="s">
        <v>39</v>
      </c>
      <c r="AM33" s="17" t="s">
        <v>39</v>
      </c>
      <c r="AN33" s="16" t="s">
        <v>39</v>
      </c>
      <c r="AO33" s="16" t="s">
        <v>39</v>
      </c>
      <c r="AP33" s="16" t="s">
        <v>39</v>
      </c>
      <c r="AQ33" s="83">
        <v>0</v>
      </c>
      <c r="AR33" s="44">
        <v>0</v>
      </c>
      <c r="AS33" s="44">
        <v>0</v>
      </c>
      <c r="AT33" s="44">
        <v>0</v>
      </c>
      <c r="AU33" s="83">
        <v>0</v>
      </c>
      <c r="AV33" s="2">
        <v>0</v>
      </c>
      <c r="AW33" s="2">
        <v>0</v>
      </c>
      <c r="AX33" s="2">
        <v>0</v>
      </c>
      <c r="AY33" s="83">
        <v>0</v>
      </c>
      <c r="AZ33" s="2">
        <v>0</v>
      </c>
      <c r="BA33" s="2">
        <v>0</v>
      </c>
      <c r="BB33" s="2">
        <v>0</v>
      </c>
      <c r="BC33" s="17" t="s">
        <v>33</v>
      </c>
      <c r="BD33" s="2">
        <v>0</v>
      </c>
      <c r="BE33" s="2">
        <v>0</v>
      </c>
      <c r="BF33" s="2">
        <v>0</v>
      </c>
      <c r="BG33" s="83">
        <v>0</v>
      </c>
      <c r="BH33" s="2">
        <f>0-BG33</f>
        <v>0</v>
      </c>
      <c r="BI33" s="2">
        <v>0</v>
      </c>
      <c r="BJ33" s="2">
        <v>1</v>
      </c>
      <c r="BK33" s="17" t="s">
        <v>33</v>
      </c>
      <c r="BL33" s="2">
        <v>0</v>
      </c>
      <c r="BM33" s="2">
        <v>0</v>
      </c>
      <c r="BN33" s="2">
        <v>1</v>
      </c>
      <c r="BO33" s="17" t="s">
        <v>33</v>
      </c>
      <c r="BP33" s="2">
        <v>0</v>
      </c>
      <c r="BQ33" s="2">
        <v>0</v>
      </c>
      <c r="BR33" s="2">
        <v>0</v>
      </c>
      <c r="BS33" s="83">
        <v>0</v>
      </c>
      <c r="BT33" s="2">
        <v>0</v>
      </c>
      <c r="BU33" s="2">
        <v>0</v>
      </c>
      <c r="BV33" s="2">
        <v>0</v>
      </c>
      <c r="BW33" s="83">
        <v>0</v>
      </c>
      <c r="BX33" s="2">
        <v>0</v>
      </c>
      <c r="BY33" s="2">
        <v>0</v>
      </c>
      <c r="BZ33" s="2">
        <v>0</v>
      </c>
      <c r="CA33" s="83">
        <v>0</v>
      </c>
      <c r="CB33" s="16" t="s">
        <v>33</v>
      </c>
      <c r="CC33" s="2">
        <v>0</v>
      </c>
      <c r="CD33" s="16" t="s">
        <v>33</v>
      </c>
      <c r="CE33" s="17" t="s">
        <v>33</v>
      </c>
      <c r="CF33" s="16">
        <v>0</v>
      </c>
      <c r="CG33" s="2">
        <v>0</v>
      </c>
      <c r="CH33" s="2">
        <v>0</v>
      </c>
      <c r="CI33" s="17" t="s">
        <v>33</v>
      </c>
      <c r="CJ33" s="16">
        <v>0</v>
      </c>
      <c r="CK33" s="2">
        <v>0</v>
      </c>
      <c r="CL33" s="2">
        <v>0</v>
      </c>
      <c r="CM33" s="7">
        <v>0</v>
      </c>
      <c r="CN33" s="2">
        <v>0</v>
      </c>
      <c r="CO33" s="2">
        <v>0</v>
      </c>
      <c r="CP33" s="2">
        <v>0</v>
      </c>
    </row>
    <row r="34" spans="2:94" x14ac:dyDescent="0.45">
      <c r="B34" s="20" t="s">
        <v>7</v>
      </c>
      <c r="C34" s="48" t="s">
        <v>39</v>
      </c>
      <c r="D34" s="48" t="s">
        <v>39</v>
      </c>
      <c r="E34" s="48" t="s">
        <v>39</v>
      </c>
      <c r="F34" s="48" t="s">
        <v>39</v>
      </c>
      <c r="G34" s="82" t="s">
        <v>39</v>
      </c>
      <c r="H34" s="48" t="s">
        <v>39</v>
      </c>
      <c r="I34" s="48" t="s">
        <v>39</v>
      </c>
      <c r="J34" s="48" t="s">
        <v>39</v>
      </c>
      <c r="K34" s="82" t="s">
        <v>39</v>
      </c>
      <c r="L34" s="48" t="s">
        <v>39</v>
      </c>
      <c r="M34" s="48" t="s">
        <v>39</v>
      </c>
      <c r="N34" s="48" t="s">
        <v>39</v>
      </c>
      <c r="O34" s="82" t="s">
        <v>39</v>
      </c>
      <c r="P34" s="48" t="s">
        <v>39</v>
      </c>
      <c r="Q34" s="48" t="s">
        <v>39</v>
      </c>
      <c r="R34" s="48" t="s">
        <v>39</v>
      </c>
      <c r="S34" s="82" t="s">
        <v>39</v>
      </c>
      <c r="T34" s="48" t="s">
        <v>39</v>
      </c>
      <c r="U34" s="48" t="s">
        <v>39</v>
      </c>
      <c r="V34" s="48" t="s">
        <v>39</v>
      </c>
      <c r="W34" s="82" t="s">
        <v>39</v>
      </c>
      <c r="X34" s="48" t="s">
        <v>39</v>
      </c>
      <c r="Y34" s="48" t="s">
        <v>39</v>
      </c>
      <c r="Z34" s="48" t="s">
        <v>39</v>
      </c>
      <c r="AA34" s="82" t="s">
        <v>39</v>
      </c>
      <c r="AB34" s="48" t="s">
        <v>39</v>
      </c>
      <c r="AC34" s="48" t="s">
        <v>39</v>
      </c>
      <c r="AD34" s="48" t="s">
        <v>39</v>
      </c>
      <c r="AE34" s="82" t="s">
        <v>39</v>
      </c>
      <c r="AF34" s="48" t="s">
        <v>39</v>
      </c>
      <c r="AG34" s="48" t="s">
        <v>39</v>
      </c>
      <c r="AH34" s="48" t="s">
        <v>39</v>
      </c>
      <c r="AI34" s="82" t="s">
        <v>39</v>
      </c>
      <c r="AJ34" s="48" t="s">
        <v>39</v>
      </c>
      <c r="AK34" s="48" t="s">
        <v>39</v>
      </c>
      <c r="AL34" s="48" t="s">
        <v>39</v>
      </c>
      <c r="AM34" s="82" t="s">
        <v>39</v>
      </c>
      <c r="AN34" s="48" t="s">
        <v>39</v>
      </c>
      <c r="AO34" s="48" t="s">
        <v>39</v>
      </c>
      <c r="AP34" s="48" t="s">
        <v>39</v>
      </c>
      <c r="AQ34" s="82">
        <v>5.6000000000000001E-2</v>
      </c>
      <c r="AR34" s="48">
        <v>5.1999999999999998E-2</v>
      </c>
      <c r="AS34" s="48">
        <v>5.3999999999999999E-2</v>
      </c>
      <c r="AT34" s="48">
        <v>3.6999999999999998E-2</v>
      </c>
      <c r="AU34" s="8">
        <v>0.03</v>
      </c>
      <c r="AV34" s="5">
        <v>1E-3</v>
      </c>
      <c r="AW34" s="5">
        <v>0.10100000000000001</v>
      </c>
      <c r="AX34" s="5">
        <v>0.02</v>
      </c>
      <c r="AY34" s="8">
        <v>2.8000000000000001E-2</v>
      </c>
      <c r="AZ34" s="5">
        <v>3.5000000000000003E-2</v>
      </c>
      <c r="BA34" s="5">
        <v>3.9E-2</v>
      </c>
      <c r="BB34" s="5">
        <v>2.8000000000000001E-2</v>
      </c>
      <c r="BC34" s="8">
        <v>-6.0000000000000001E-3</v>
      </c>
      <c r="BD34" s="5">
        <f>+BD33/BD32</f>
        <v>0</v>
      </c>
      <c r="BE34" s="5">
        <v>2.8000000000000001E-2</v>
      </c>
      <c r="BF34" s="5">
        <v>1.4E-2</v>
      </c>
      <c r="BG34" s="8">
        <v>0</v>
      </c>
      <c r="BH34" s="5">
        <f>+BH33/BH32</f>
        <v>0</v>
      </c>
      <c r="BI34" s="5">
        <v>4.2999999999999997E-2</v>
      </c>
      <c r="BJ34" s="5">
        <v>9.6000000000000002E-2</v>
      </c>
      <c r="BK34" s="8">
        <v>-3.7999999999999999E-2</v>
      </c>
      <c r="BL34" s="5">
        <v>0.06</v>
      </c>
      <c r="BM34" s="5">
        <v>3.7999999999999999E-2</v>
      </c>
      <c r="BN34" s="5">
        <v>0.128</v>
      </c>
      <c r="BO34" s="8">
        <v>-3.3000000000000002E-2</v>
      </c>
      <c r="BP34" s="5">
        <v>2.3E-2</v>
      </c>
      <c r="BQ34" s="5">
        <v>4.0000000000000001E-3</v>
      </c>
      <c r="BR34" s="5">
        <v>0.05</v>
      </c>
      <c r="BS34" s="8">
        <v>7.5999999999999998E-2</v>
      </c>
      <c r="BT34" s="5">
        <v>3.2000000000000001E-2</v>
      </c>
      <c r="BU34" s="5">
        <v>5.3999999999999999E-2</v>
      </c>
      <c r="BV34" s="5">
        <v>7.0000000000000001E-3</v>
      </c>
      <c r="BW34" s="8">
        <v>0.03</v>
      </c>
      <c r="BX34" s="5">
        <v>3.5999999999999997E-2</v>
      </c>
      <c r="BY34" s="5">
        <v>3.5999999999999997E-2</v>
      </c>
      <c r="BZ34" s="5">
        <v>2.4E-2</v>
      </c>
      <c r="CA34" s="8">
        <v>2.5000000000000001E-2</v>
      </c>
      <c r="CB34" s="60" t="s">
        <v>35</v>
      </c>
      <c r="CC34" s="5">
        <v>3.5000000000000003E-2</v>
      </c>
      <c r="CD34" s="5">
        <v>-1.4E-2</v>
      </c>
      <c r="CE34" s="8">
        <v>-3.5999999999999997E-2</v>
      </c>
      <c r="CF34" s="5">
        <v>1E-3</v>
      </c>
      <c r="CG34" s="5">
        <v>4.2999999999999997E-2</v>
      </c>
      <c r="CH34" s="5">
        <v>6.0999999999999999E-2</v>
      </c>
      <c r="CI34" s="8">
        <v>-2E-3</v>
      </c>
      <c r="CJ34" s="5">
        <v>2.1999999999999999E-2</v>
      </c>
      <c r="CK34" s="5">
        <v>7.8E-2</v>
      </c>
      <c r="CL34" s="5">
        <v>0.02</v>
      </c>
      <c r="CM34" s="8">
        <v>1.4999999999999999E-2</v>
      </c>
      <c r="CN34" s="5">
        <v>6.2E-2</v>
      </c>
      <c r="CO34" s="5">
        <v>5.6000000000000001E-2</v>
      </c>
      <c r="CP34" s="5">
        <v>4.4999999999999998E-2</v>
      </c>
    </row>
    <row r="35" spans="2:94" x14ac:dyDescent="0.45">
      <c r="B35" s="84" t="s">
        <v>58</v>
      </c>
      <c r="C35" s="48" t="s">
        <v>39</v>
      </c>
      <c r="D35" s="53" t="s">
        <v>39</v>
      </c>
      <c r="E35" s="53" t="s">
        <v>39</v>
      </c>
      <c r="F35" s="53" t="s">
        <v>39</v>
      </c>
      <c r="G35" s="82" t="s">
        <v>39</v>
      </c>
      <c r="H35" s="53" t="s">
        <v>39</v>
      </c>
      <c r="I35" s="53" t="s">
        <v>39</v>
      </c>
      <c r="J35" s="53" t="s">
        <v>39</v>
      </c>
      <c r="K35" s="82" t="s">
        <v>39</v>
      </c>
      <c r="L35" s="53" t="s">
        <v>39</v>
      </c>
      <c r="M35" s="53" t="s">
        <v>39</v>
      </c>
      <c r="N35" s="53" t="s">
        <v>39</v>
      </c>
      <c r="O35" s="72">
        <v>0</v>
      </c>
      <c r="P35" s="71">
        <v>0</v>
      </c>
      <c r="Q35" s="71">
        <v>0</v>
      </c>
      <c r="R35" s="71">
        <v>0</v>
      </c>
      <c r="S35" s="72">
        <v>0</v>
      </c>
      <c r="T35" s="71" t="s">
        <v>33</v>
      </c>
      <c r="U35" s="71">
        <v>0</v>
      </c>
      <c r="V35" s="71">
        <v>0</v>
      </c>
      <c r="W35" s="72">
        <v>0</v>
      </c>
      <c r="X35" s="71" t="s">
        <v>33</v>
      </c>
      <c r="Y35" s="71">
        <v>0</v>
      </c>
      <c r="Z35" s="71">
        <v>0</v>
      </c>
      <c r="AA35" s="72" t="s">
        <v>33</v>
      </c>
      <c r="AB35" s="71" t="s">
        <v>33</v>
      </c>
      <c r="AC35" s="71">
        <v>0</v>
      </c>
      <c r="AD35" s="71">
        <v>0</v>
      </c>
      <c r="AE35" s="72">
        <v>0</v>
      </c>
      <c r="AF35" s="71">
        <v>0</v>
      </c>
      <c r="AG35" s="71">
        <v>0</v>
      </c>
      <c r="AH35" s="71">
        <v>0</v>
      </c>
      <c r="AI35" s="72">
        <v>0</v>
      </c>
      <c r="AJ35" s="71">
        <v>0</v>
      </c>
      <c r="AK35" s="71">
        <v>0</v>
      </c>
      <c r="AL35" s="71" t="s">
        <v>33</v>
      </c>
      <c r="AM35" s="72">
        <v>0</v>
      </c>
      <c r="AN35" s="71">
        <v>0</v>
      </c>
      <c r="AO35" s="71">
        <v>0</v>
      </c>
      <c r="AP35" s="71">
        <v>0</v>
      </c>
      <c r="AQ35" s="72">
        <v>0</v>
      </c>
      <c r="AR35" s="71">
        <v>0</v>
      </c>
      <c r="AS35" s="71">
        <v>0</v>
      </c>
      <c r="AT35" s="71">
        <v>0</v>
      </c>
      <c r="AU35" s="72">
        <v>0</v>
      </c>
      <c r="AV35" s="71" t="s">
        <v>33</v>
      </c>
      <c r="AW35" s="71">
        <v>0</v>
      </c>
      <c r="AX35" s="71" t="s">
        <v>33</v>
      </c>
      <c r="AY35" s="72">
        <v>0</v>
      </c>
      <c r="AZ35" s="71">
        <v>0</v>
      </c>
      <c r="BA35" s="71">
        <v>1</v>
      </c>
      <c r="BB35" s="73">
        <v>-1</v>
      </c>
      <c r="BC35" s="72">
        <v>0</v>
      </c>
      <c r="BD35" s="71">
        <v>0</v>
      </c>
      <c r="BE35" s="71">
        <v>0</v>
      </c>
      <c r="BF35" s="71">
        <v>0</v>
      </c>
      <c r="BG35" s="72" t="s">
        <v>33</v>
      </c>
      <c r="BH35" s="71">
        <v>0</v>
      </c>
      <c r="BI35" s="71" t="s">
        <v>33</v>
      </c>
      <c r="BJ35" s="71">
        <v>0</v>
      </c>
      <c r="BK35" s="72" t="s">
        <v>33</v>
      </c>
      <c r="BL35" s="71">
        <v>0</v>
      </c>
      <c r="BM35" s="71">
        <v>0</v>
      </c>
      <c r="BN35" s="71">
        <v>1</v>
      </c>
      <c r="BO35" s="72">
        <v>0</v>
      </c>
      <c r="BP35" s="71">
        <v>1</v>
      </c>
      <c r="BQ35" s="71">
        <v>0</v>
      </c>
      <c r="BR35" s="71">
        <v>0</v>
      </c>
      <c r="BS35" s="72">
        <v>0</v>
      </c>
      <c r="BT35" s="71" t="s">
        <v>33</v>
      </c>
      <c r="BU35" s="71">
        <v>0</v>
      </c>
      <c r="BV35" s="71">
        <v>0</v>
      </c>
      <c r="BW35" s="72" t="s">
        <v>33</v>
      </c>
      <c r="BX35" s="71">
        <v>3</v>
      </c>
      <c r="BY35" s="71">
        <v>1</v>
      </c>
      <c r="BZ35" s="71" t="s">
        <v>33</v>
      </c>
      <c r="CA35" s="72">
        <v>1</v>
      </c>
      <c r="CB35" s="71">
        <v>0</v>
      </c>
      <c r="CC35" s="71" t="s">
        <v>33</v>
      </c>
      <c r="CD35" s="71">
        <v>0</v>
      </c>
      <c r="CE35" s="72">
        <v>0</v>
      </c>
      <c r="CF35" s="71">
        <v>0</v>
      </c>
      <c r="CG35" s="71">
        <v>0</v>
      </c>
      <c r="CH35" s="71">
        <v>0</v>
      </c>
      <c r="CI35" s="72">
        <v>0</v>
      </c>
      <c r="CJ35" s="71">
        <v>0</v>
      </c>
      <c r="CK35" s="71">
        <v>0</v>
      </c>
      <c r="CL35" s="73">
        <v>0</v>
      </c>
      <c r="CM35" s="72">
        <v>0</v>
      </c>
      <c r="CN35" s="71">
        <v>0</v>
      </c>
      <c r="CO35" s="71">
        <v>0</v>
      </c>
      <c r="CP35" s="71">
        <v>0</v>
      </c>
    </row>
    <row r="36" spans="2:94" x14ac:dyDescent="0.45">
      <c r="B36" s="18" t="s">
        <v>11</v>
      </c>
      <c r="G36" s="9"/>
      <c r="K36" s="9"/>
      <c r="O36" s="9"/>
      <c r="S36" s="9"/>
      <c r="W36" s="9"/>
      <c r="AA36" s="9"/>
      <c r="AE36" s="9"/>
      <c r="AI36" s="9"/>
      <c r="AM36" s="9"/>
      <c r="AQ36" s="9"/>
      <c r="AU36" s="9"/>
      <c r="AY36" s="9"/>
      <c r="BC36" s="9"/>
      <c r="BG36" s="9"/>
      <c r="BK36" s="9"/>
      <c r="BO36" s="9"/>
      <c r="BS36" s="9"/>
      <c r="BW36" s="9"/>
      <c r="CA36" s="9"/>
      <c r="CE36" s="9"/>
      <c r="CI36" s="9"/>
      <c r="CM36" s="9"/>
    </row>
    <row r="37" spans="2:94" x14ac:dyDescent="0.45">
      <c r="B37" s="19" t="s">
        <v>4</v>
      </c>
      <c r="C37" s="39" t="s">
        <v>45</v>
      </c>
      <c r="D37" s="39" t="s">
        <v>39</v>
      </c>
      <c r="E37" s="39" t="s">
        <v>39</v>
      </c>
      <c r="F37" s="39" t="s">
        <v>39</v>
      </c>
      <c r="G37" s="77" t="s">
        <v>39</v>
      </c>
      <c r="H37" s="39" t="s">
        <v>39</v>
      </c>
      <c r="I37" s="39" t="s">
        <v>39</v>
      </c>
      <c r="J37" s="39" t="s">
        <v>39</v>
      </c>
      <c r="K37" s="77" t="s">
        <v>39</v>
      </c>
      <c r="L37" s="39" t="s">
        <v>39</v>
      </c>
      <c r="M37" s="39" t="s">
        <v>39</v>
      </c>
      <c r="N37" s="39" t="s">
        <v>39</v>
      </c>
      <c r="O37" s="7">
        <v>211</v>
      </c>
      <c r="P37" s="2">
        <v>251</v>
      </c>
      <c r="Q37" s="2">
        <v>249</v>
      </c>
      <c r="R37" s="2">
        <v>277</v>
      </c>
      <c r="S37" s="7">
        <v>288</v>
      </c>
      <c r="T37" s="2">
        <v>316</v>
      </c>
      <c r="U37" s="2">
        <v>297</v>
      </c>
      <c r="V37" s="2">
        <v>290</v>
      </c>
      <c r="W37" s="7">
        <v>275</v>
      </c>
      <c r="X37" s="2">
        <v>315</v>
      </c>
      <c r="Y37" s="2">
        <v>316</v>
      </c>
      <c r="Z37" s="2">
        <v>387</v>
      </c>
      <c r="AA37" s="7">
        <v>336</v>
      </c>
      <c r="AB37" s="2">
        <v>381</v>
      </c>
      <c r="AC37" s="2">
        <v>395</v>
      </c>
      <c r="AD37" s="2">
        <v>401</v>
      </c>
      <c r="AE37" s="7">
        <v>359</v>
      </c>
      <c r="AF37" s="2">
        <v>384</v>
      </c>
      <c r="AG37" s="2">
        <v>367</v>
      </c>
      <c r="AH37" s="2">
        <v>371</v>
      </c>
      <c r="AI37" s="7">
        <v>334</v>
      </c>
      <c r="AJ37" s="2">
        <v>346</v>
      </c>
      <c r="AK37" s="2">
        <v>278</v>
      </c>
      <c r="AL37" s="2">
        <v>249</v>
      </c>
      <c r="AM37" s="7">
        <v>254</v>
      </c>
      <c r="AN37" s="2">
        <v>301</v>
      </c>
      <c r="AO37" s="2">
        <v>294</v>
      </c>
      <c r="AP37" s="2">
        <v>340</v>
      </c>
      <c r="AQ37" s="7">
        <v>341</v>
      </c>
      <c r="AR37" s="2">
        <v>363</v>
      </c>
      <c r="AS37" s="2">
        <v>367</v>
      </c>
      <c r="AT37" s="2">
        <v>379</v>
      </c>
      <c r="AU37" s="7">
        <v>355</v>
      </c>
      <c r="AV37" s="2">
        <v>395</v>
      </c>
      <c r="AW37" s="2">
        <v>355</v>
      </c>
      <c r="AX37" s="2">
        <v>394</v>
      </c>
      <c r="AY37" s="7">
        <v>359</v>
      </c>
      <c r="AZ37" s="2">
        <v>353</v>
      </c>
      <c r="BA37" s="2">
        <v>344</v>
      </c>
      <c r="BB37" s="2">
        <v>376</v>
      </c>
      <c r="BC37" s="7">
        <v>354</v>
      </c>
      <c r="BD37" s="2">
        <v>402</v>
      </c>
      <c r="BE37" s="2">
        <v>381</v>
      </c>
      <c r="BF37" s="2">
        <v>439</v>
      </c>
      <c r="BG37" s="7">
        <v>344</v>
      </c>
      <c r="BH37" s="2">
        <v>399</v>
      </c>
      <c r="BI37" s="2">
        <v>404</v>
      </c>
      <c r="BJ37" s="2">
        <v>445</v>
      </c>
      <c r="BK37" s="7">
        <v>411</v>
      </c>
      <c r="BL37" s="2">
        <v>474</v>
      </c>
      <c r="BM37" s="2">
        <v>459</v>
      </c>
      <c r="BN37" s="2">
        <v>445</v>
      </c>
      <c r="BO37" s="7">
        <v>399</v>
      </c>
      <c r="BP37" s="2">
        <v>425</v>
      </c>
      <c r="BQ37" s="2">
        <v>424</v>
      </c>
      <c r="BR37" s="2">
        <v>478</v>
      </c>
      <c r="BS37" s="7">
        <v>417</v>
      </c>
      <c r="BT37" s="2">
        <v>434</v>
      </c>
      <c r="BU37" s="2">
        <v>445</v>
      </c>
      <c r="BV37" s="2">
        <v>436</v>
      </c>
      <c r="BW37" s="7">
        <v>399</v>
      </c>
      <c r="BX37" s="2">
        <v>426</v>
      </c>
      <c r="BY37" s="2">
        <v>397</v>
      </c>
      <c r="BZ37" s="2">
        <v>427</v>
      </c>
      <c r="CA37" s="7">
        <v>389</v>
      </c>
      <c r="CB37" s="2">
        <v>430</v>
      </c>
      <c r="CC37" s="2">
        <v>380</v>
      </c>
      <c r="CD37" s="2">
        <v>389</v>
      </c>
      <c r="CE37" s="7">
        <v>236</v>
      </c>
      <c r="CF37" s="2">
        <v>283</v>
      </c>
      <c r="CG37" s="2">
        <v>304</v>
      </c>
      <c r="CH37" s="2">
        <v>361</v>
      </c>
      <c r="CI37" s="7">
        <v>349</v>
      </c>
      <c r="CJ37" s="2">
        <v>366</v>
      </c>
      <c r="CK37" s="2">
        <v>381</v>
      </c>
      <c r="CL37" s="2">
        <v>391</v>
      </c>
      <c r="CM37" s="7">
        <v>397</v>
      </c>
      <c r="CN37" s="2">
        <v>482</v>
      </c>
      <c r="CO37" s="2">
        <v>404</v>
      </c>
      <c r="CP37" s="2">
        <v>466</v>
      </c>
    </row>
    <row r="38" spans="2:94" x14ac:dyDescent="0.45">
      <c r="B38" s="19" t="s">
        <v>6</v>
      </c>
      <c r="C38" s="39" t="s">
        <v>45</v>
      </c>
      <c r="D38" s="39" t="s">
        <v>39</v>
      </c>
      <c r="E38" s="39" t="s">
        <v>39</v>
      </c>
      <c r="F38" s="39" t="s">
        <v>39</v>
      </c>
      <c r="G38" s="77" t="s">
        <v>39</v>
      </c>
      <c r="H38" s="39" t="s">
        <v>39</v>
      </c>
      <c r="I38" s="39" t="s">
        <v>39</v>
      </c>
      <c r="J38" s="39" t="s">
        <v>39</v>
      </c>
      <c r="K38" s="77" t="s">
        <v>39</v>
      </c>
      <c r="L38" s="39" t="s">
        <v>39</v>
      </c>
      <c r="M38" s="39" t="s">
        <v>39</v>
      </c>
      <c r="N38" s="39" t="s">
        <v>39</v>
      </c>
      <c r="O38" s="7">
        <v>27</v>
      </c>
      <c r="P38" s="2">
        <v>36</v>
      </c>
      <c r="Q38" s="2">
        <v>40</v>
      </c>
      <c r="R38" s="2">
        <v>44</v>
      </c>
      <c r="S38" s="7">
        <v>51</v>
      </c>
      <c r="T38" s="2">
        <v>59</v>
      </c>
      <c r="U38" s="2">
        <v>51</v>
      </c>
      <c r="V38" s="2">
        <v>40</v>
      </c>
      <c r="W38" s="7">
        <v>38</v>
      </c>
      <c r="X38" s="2">
        <v>49</v>
      </c>
      <c r="Y38" s="2">
        <v>42</v>
      </c>
      <c r="Z38" s="2">
        <v>56</v>
      </c>
      <c r="AA38" s="7">
        <v>53</v>
      </c>
      <c r="AB38" s="2">
        <v>51</v>
      </c>
      <c r="AC38" s="2">
        <v>54</v>
      </c>
      <c r="AD38" s="2">
        <v>38</v>
      </c>
      <c r="AE38" s="7">
        <v>48</v>
      </c>
      <c r="AF38" s="2">
        <v>59</v>
      </c>
      <c r="AG38" s="2">
        <v>59</v>
      </c>
      <c r="AH38" s="2">
        <v>34</v>
      </c>
      <c r="AI38" s="7">
        <v>39</v>
      </c>
      <c r="AJ38" s="2">
        <v>41</v>
      </c>
      <c r="AK38" s="2">
        <v>19</v>
      </c>
      <c r="AL38" s="2">
        <v>-10</v>
      </c>
      <c r="AM38" s="7">
        <v>10</v>
      </c>
      <c r="AN38" s="2">
        <v>12</v>
      </c>
      <c r="AO38" s="2">
        <v>23</v>
      </c>
      <c r="AP38" s="2">
        <v>26</v>
      </c>
      <c r="AQ38" s="7">
        <v>39</v>
      </c>
      <c r="AR38" s="2">
        <v>38</v>
      </c>
      <c r="AS38" s="2">
        <v>30</v>
      </c>
      <c r="AT38" s="2">
        <v>31</v>
      </c>
      <c r="AU38" s="7">
        <v>27</v>
      </c>
      <c r="AV38" s="2">
        <v>37</v>
      </c>
      <c r="AW38" s="2">
        <v>25</v>
      </c>
      <c r="AX38" s="2">
        <v>16</v>
      </c>
      <c r="AY38" s="7">
        <v>19</v>
      </c>
      <c r="AZ38" s="2">
        <v>19</v>
      </c>
      <c r="BA38" s="2">
        <v>15</v>
      </c>
      <c r="BB38" s="2">
        <v>21</v>
      </c>
      <c r="BC38" s="7">
        <v>22</v>
      </c>
      <c r="BD38" s="2">
        <v>35</v>
      </c>
      <c r="BE38" s="2">
        <v>26</v>
      </c>
      <c r="BF38" s="2">
        <v>36</v>
      </c>
      <c r="BG38" s="7">
        <v>14</v>
      </c>
      <c r="BH38" s="2">
        <v>25</v>
      </c>
      <c r="BI38" s="2">
        <v>23</v>
      </c>
      <c r="BJ38" s="2">
        <v>39</v>
      </c>
      <c r="BK38" s="7">
        <v>23</v>
      </c>
      <c r="BL38" s="2">
        <v>42</v>
      </c>
      <c r="BM38" s="2">
        <v>39</v>
      </c>
      <c r="BN38" s="2">
        <v>26</v>
      </c>
      <c r="BO38" s="7">
        <v>9</v>
      </c>
      <c r="BP38" s="2">
        <v>21</v>
      </c>
      <c r="BQ38" s="2">
        <v>25</v>
      </c>
      <c r="BR38" s="2">
        <v>28</v>
      </c>
      <c r="BS38" s="7">
        <v>28</v>
      </c>
      <c r="BT38" s="2">
        <v>28</v>
      </c>
      <c r="BU38" s="2">
        <v>29</v>
      </c>
      <c r="BV38" s="2">
        <v>15</v>
      </c>
      <c r="BW38" s="7">
        <v>25</v>
      </c>
      <c r="BX38" s="2">
        <v>28</v>
      </c>
      <c r="BY38" s="2">
        <v>15</v>
      </c>
      <c r="BZ38" s="2">
        <v>16</v>
      </c>
      <c r="CA38" s="7">
        <v>21</v>
      </c>
      <c r="CB38" s="2">
        <v>27</v>
      </c>
      <c r="CC38" s="2">
        <v>14</v>
      </c>
      <c r="CD38" s="2">
        <v>21</v>
      </c>
      <c r="CE38" s="7">
        <v>-7</v>
      </c>
      <c r="CF38" s="2">
        <v>-3</v>
      </c>
      <c r="CG38" s="2">
        <v>6</v>
      </c>
      <c r="CH38" s="2">
        <v>11</v>
      </c>
      <c r="CI38" s="7">
        <v>25</v>
      </c>
      <c r="CJ38" s="2">
        <v>39</v>
      </c>
      <c r="CK38" s="2">
        <v>42</v>
      </c>
      <c r="CL38" s="2">
        <v>22</v>
      </c>
      <c r="CM38" s="7">
        <v>44</v>
      </c>
      <c r="CN38" s="2">
        <v>56</v>
      </c>
      <c r="CO38" s="2">
        <v>34</v>
      </c>
      <c r="CP38" s="2">
        <v>23</v>
      </c>
    </row>
    <row r="39" spans="2:94" x14ac:dyDescent="0.45">
      <c r="B39" s="20" t="s">
        <v>7</v>
      </c>
      <c r="C39" s="48" t="s">
        <v>45</v>
      </c>
      <c r="D39" s="48" t="s">
        <v>39</v>
      </c>
      <c r="E39" s="48" t="s">
        <v>39</v>
      </c>
      <c r="F39" s="48" t="s">
        <v>39</v>
      </c>
      <c r="G39" s="82" t="s">
        <v>39</v>
      </c>
      <c r="H39" s="48" t="s">
        <v>39</v>
      </c>
      <c r="I39" s="48" t="s">
        <v>39</v>
      </c>
      <c r="J39" s="48" t="s">
        <v>39</v>
      </c>
      <c r="K39" s="82" t="s">
        <v>39</v>
      </c>
      <c r="L39" s="48" t="s">
        <v>39</v>
      </c>
      <c r="M39" s="48" t="s">
        <v>39</v>
      </c>
      <c r="N39" s="48" t="s">
        <v>39</v>
      </c>
      <c r="O39" s="8">
        <v>0.13100000000000001</v>
      </c>
      <c r="P39" s="5">
        <v>0.14599999999999999</v>
      </c>
      <c r="Q39" s="5">
        <v>0.16300000000000001</v>
      </c>
      <c r="R39" s="5">
        <v>0.16</v>
      </c>
      <c r="S39" s="8">
        <v>0.17699999999999999</v>
      </c>
      <c r="T39" s="5">
        <v>0.188</v>
      </c>
      <c r="U39" s="5">
        <v>0.17199999999999999</v>
      </c>
      <c r="V39" s="5">
        <v>0.13900000000000001</v>
      </c>
      <c r="W39" s="8">
        <v>0.13900000000000001</v>
      </c>
      <c r="X39" s="5">
        <v>0.155</v>
      </c>
      <c r="Y39" s="5">
        <v>0.13300000000000001</v>
      </c>
      <c r="Z39" s="5">
        <v>0.14499999999999999</v>
      </c>
      <c r="AA39" s="8">
        <v>0.159</v>
      </c>
      <c r="AB39" s="5">
        <v>0.13500000000000001</v>
      </c>
      <c r="AC39" s="5">
        <v>0.13700000000000001</v>
      </c>
      <c r="AD39" s="5">
        <v>9.5000000000000001E-2</v>
      </c>
      <c r="AE39" s="8">
        <v>0.13500000000000001</v>
      </c>
      <c r="AF39" s="5">
        <v>0.154</v>
      </c>
      <c r="AG39" s="5">
        <v>0.159</v>
      </c>
      <c r="AH39" s="5">
        <v>9.2999999999999999E-2</v>
      </c>
      <c r="AI39" s="8">
        <v>0.11799999999999999</v>
      </c>
      <c r="AJ39" s="5">
        <v>0.11899999999999999</v>
      </c>
      <c r="AK39" s="5">
        <v>7.1999999999999995E-2</v>
      </c>
      <c r="AL39" s="5">
        <v>-4.3999999999999997E-2</v>
      </c>
      <c r="AM39" s="8">
        <v>4.2999999999999997E-2</v>
      </c>
      <c r="AN39" s="5">
        <v>4.1000000000000002E-2</v>
      </c>
      <c r="AO39" s="5">
        <v>7.8E-2</v>
      </c>
      <c r="AP39" s="5">
        <v>7.6999999999999999E-2</v>
      </c>
      <c r="AQ39" s="8">
        <v>0.11600000000000001</v>
      </c>
      <c r="AR39" s="5">
        <v>0.107</v>
      </c>
      <c r="AS39" s="5">
        <v>8.2000000000000003E-2</v>
      </c>
      <c r="AT39" s="5">
        <v>8.4000000000000005E-2</v>
      </c>
      <c r="AU39" s="8">
        <v>7.6999999999999999E-2</v>
      </c>
      <c r="AV39" s="5">
        <v>9.5000000000000001E-2</v>
      </c>
      <c r="AW39" s="5">
        <v>7.0999999999999994E-2</v>
      </c>
      <c r="AX39" s="5">
        <v>4.2000000000000003E-2</v>
      </c>
      <c r="AY39" s="8">
        <v>5.2999999999999999E-2</v>
      </c>
      <c r="AZ39" s="5">
        <v>5.5E-2</v>
      </c>
      <c r="BA39" s="5">
        <v>4.5999999999999999E-2</v>
      </c>
      <c r="BB39" s="5">
        <v>5.8000000000000003E-2</v>
      </c>
      <c r="BC39" s="8">
        <v>6.4000000000000001E-2</v>
      </c>
      <c r="BD39" s="5">
        <v>8.7999999999999995E-2</v>
      </c>
      <c r="BE39" s="5">
        <v>6.9000000000000006E-2</v>
      </c>
      <c r="BF39" s="5">
        <v>8.3000000000000004E-2</v>
      </c>
      <c r="BG39" s="8">
        <v>4.2000000000000003E-2</v>
      </c>
      <c r="BH39" s="5">
        <v>6.4000000000000001E-2</v>
      </c>
      <c r="BI39" s="5">
        <v>5.8999999999999997E-2</v>
      </c>
      <c r="BJ39" s="5">
        <v>8.8999999999999996E-2</v>
      </c>
      <c r="BK39" s="8">
        <v>5.7000000000000002E-2</v>
      </c>
      <c r="BL39" s="5">
        <v>8.7999999999999995E-2</v>
      </c>
      <c r="BM39" s="5">
        <v>8.5999999999999993E-2</v>
      </c>
      <c r="BN39" s="5">
        <v>5.8999999999999997E-2</v>
      </c>
      <c r="BO39" s="8">
        <v>2.4E-2</v>
      </c>
      <c r="BP39" s="5">
        <v>5.0999999999999997E-2</v>
      </c>
      <c r="BQ39" s="5">
        <v>6.0999999999999999E-2</v>
      </c>
      <c r="BR39" s="5">
        <v>0.06</v>
      </c>
      <c r="BS39" s="8">
        <v>6.7000000000000004E-2</v>
      </c>
      <c r="BT39" s="5">
        <v>6.5000000000000002E-2</v>
      </c>
      <c r="BU39" s="5">
        <v>6.6000000000000003E-2</v>
      </c>
      <c r="BV39" s="5">
        <v>3.5999999999999997E-2</v>
      </c>
      <c r="BW39" s="8">
        <v>6.4000000000000001E-2</v>
      </c>
      <c r="BX39" s="5">
        <v>6.6000000000000003E-2</v>
      </c>
      <c r="BY39" s="5">
        <v>3.9E-2</v>
      </c>
      <c r="BZ39" s="5">
        <v>3.7999999999999999E-2</v>
      </c>
      <c r="CA39" s="8">
        <v>5.5E-2</v>
      </c>
      <c r="CB39" s="5">
        <v>6.3E-2</v>
      </c>
      <c r="CC39" s="5">
        <v>3.9E-2</v>
      </c>
      <c r="CD39" s="5">
        <v>5.5E-2</v>
      </c>
      <c r="CE39" s="8">
        <v>-3.1E-2</v>
      </c>
      <c r="CF39" s="5">
        <v>-1.0999999999999999E-2</v>
      </c>
      <c r="CG39" s="5">
        <v>2.1999999999999999E-2</v>
      </c>
      <c r="CH39" s="5">
        <v>3.2000000000000001E-2</v>
      </c>
      <c r="CI39" s="8">
        <v>7.3999999999999996E-2</v>
      </c>
      <c r="CJ39" s="5">
        <v>0.109</v>
      </c>
      <c r="CK39" s="5">
        <v>0.111</v>
      </c>
      <c r="CL39" s="5">
        <v>5.8000000000000003E-2</v>
      </c>
      <c r="CM39" s="8">
        <v>0.113</v>
      </c>
      <c r="CN39" s="5">
        <v>0.11700000000000001</v>
      </c>
      <c r="CO39" s="5">
        <v>8.5000000000000006E-2</v>
      </c>
      <c r="CP39" s="5">
        <v>0.05</v>
      </c>
    </row>
    <row r="41" spans="2:94" x14ac:dyDescent="0.45">
      <c r="B41" s="70" t="s">
        <v>46</v>
      </c>
    </row>
    <row r="42" spans="2:94" x14ac:dyDescent="0.45">
      <c r="B42" s="70" t="s">
        <v>47</v>
      </c>
    </row>
    <row r="43" spans="2:94" x14ac:dyDescent="0.45">
      <c r="B43" s="70" t="s">
        <v>51</v>
      </c>
    </row>
    <row r="44" spans="2:94" x14ac:dyDescent="0.45">
      <c r="B44" s="70" t="s">
        <v>49</v>
      </c>
    </row>
    <row r="45" spans="2:94" x14ac:dyDescent="0.45">
      <c r="B45" s="70" t="s">
        <v>60</v>
      </c>
    </row>
    <row r="46" spans="2:94" x14ac:dyDescent="0.45">
      <c r="B46" s="70" t="s">
        <v>105</v>
      </c>
    </row>
    <row r="47" spans="2:94" x14ac:dyDescent="0.45">
      <c r="B47" s="70" t="s">
        <v>87</v>
      </c>
    </row>
    <row r="48" spans="2:94" x14ac:dyDescent="0.45">
      <c r="B48" s="70" t="s">
        <v>89</v>
      </c>
    </row>
    <row r="49" spans="2:2" x14ac:dyDescent="0.45">
      <c r="B49" s="70" t="s">
        <v>101</v>
      </c>
    </row>
    <row r="50" spans="2:2" x14ac:dyDescent="0.45">
      <c r="B50" s="70" t="s">
        <v>102</v>
      </c>
    </row>
    <row r="51" spans="2:2" x14ac:dyDescent="0.45">
      <c r="B51" s="70" t="s">
        <v>103</v>
      </c>
    </row>
    <row r="52" spans="2:2" x14ac:dyDescent="0.45">
      <c r="B52" s="70" t="s">
        <v>94</v>
      </c>
    </row>
    <row r="53" spans="2:2" x14ac:dyDescent="0.45">
      <c r="B53" s="70" t="s">
        <v>104</v>
      </c>
    </row>
    <row r="54" spans="2:2" x14ac:dyDescent="0.45">
      <c r="B54" t="s">
        <v>96</v>
      </c>
    </row>
    <row r="55" spans="2:2" x14ac:dyDescent="0.45">
      <c r="B55" s="70" t="s">
        <v>98</v>
      </c>
    </row>
    <row r="56" spans="2:2" x14ac:dyDescent="0.45">
      <c r="B56" s="70" t="s">
        <v>107</v>
      </c>
    </row>
    <row r="57" spans="2:2" x14ac:dyDescent="0.45">
      <c r="B57" s="70" t="s">
        <v>108</v>
      </c>
    </row>
    <row r="58" spans="2:2" x14ac:dyDescent="0.45">
      <c r="B58" s="70" t="s">
        <v>109</v>
      </c>
    </row>
    <row r="59" spans="2:2" x14ac:dyDescent="0.45">
      <c r="B59" s="70" t="s">
        <v>110</v>
      </c>
    </row>
    <row r="60" spans="2:2" x14ac:dyDescent="0.45">
      <c r="B60" s="70"/>
    </row>
    <row r="61" spans="2:2" x14ac:dyDescent="0.45">
      <c r="B61" s="70"/>
    </row>
    <row r="62" spans="2:2" x14ac:dyDescent="0.45">
      <c r="B62" s="70"/>
    </row>
    <row r="63" spans="2:2" x14ac:dyDescent="0.45">
      <c r="B63" s="70"/>
    </row>
  </sheetData>
  <mergeCells count="23">
    <mergeCell ref="C4:F4"/>
    <mergeCell ref="G4:J4"/>
    <mergeCell ref="K4:N4"/>
    <mergeCell ref="O4:R4"/>
    <mergeCell ref="S4:V4"/>
    <mergeCell ref="W4:Z4"/>
    <mergeCell ref="AA4:AD4"/>
    <mergeCell ref="AE4:AH4"/>
    <mergeCell ref="AI4:AL4"/>
    <mergeCell ref="AM4:AP4"/>
    <mergeCell ref="AQ4:AT4"/>
    <mergeCell ref="AU4:AX4"/>
    <mergeCell ref="AY4:BB4"/>
    <mergeCell ref="BC4:BF4"/>
    <mergeCell ref="BG4:BJ4"/>
    <mergeCell ref="BK4:BN4"/>
    <mergeCell ref="BO4:BR4"/>
    <mergeCell ref="CM4:CP4"/>
    <mergeCell ref="BS4:BV4"/>
    <mergeCell ref="BW4:BZ4"/>
    <mergeCell ref="CA4:CD4"/>
    <mergeCell ref="CE4:CH4"/>
    <mergeCell ref="CI4:CL4"/>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35678DA10A4B245931DA6BE7754EC2F" ma:contentTypeVersion="" ma:contentTypeDescription="新しいドキュメントを作成します。" ma:contentTypeScope="" ma:versionID="af40190bde27fdaff61cf38b1910f4cf">
  <xsd:schema xmlns:xsd="http://www.w3.org/2001/XMLSchema" xmlns:xs="http://www.w3.org/2001/XMLSchema" xmlns:p="http://schemas.microsoft.com/office/2006/metadata/properties" xmlns:ns2="81CBD3CD-974E-459B-94F9-515D051B0EED" xmlns:ns3="81cbd3cd-974e-459b-94f9-515d051b0eed" xmlns:ns4="d91bdbad-8cce-4222-901f-95b0bcf34682" xmlns:ns5="b14fbecb-67c7-44e1-b4ee-62cbcbd3663c" targetNamespace="http://schemas.microsoft.com/office/2006/metadata/properties" ma:root="true" ma:fieldsID="15339410884c9c02885d75906a773fdc" ns2:_="" ns3:_="" ns4:_="" ns5:_="">
    <xsd:import namespace="81CBD3CD-974E-459B-94F9-515D051B0EED"/>
    <xsd:import namespace="81cbd3cd-974e-459b-94f9-515d051b0eed"/>
    <xsd:import namespace="d91bdbad-8cce-4222-901f-95b0bcf34682"/>
    <xsd:import namespace="b14fbecb-67c7-44e1-b4ee-62cbcbd3663c"/>
    <xsd:element name="properties">
      <xsd:complexType>
        <xsd:sequence>
          <xsd:element name="documentManagement">
            <xsd:complexType>
              <xsd:all>
                <xsd:element ref="ns2:Category" minOccurs="0"/>
                <xsd:element ref="ns2:_x56fa__x6709__x6a29__x9650_" minOccurs="0"/>
                <xsd:element ref="ns2:_x56fa__x6709__x6a29__x9650__x8a73__x7d30_" minOccurs="0"/>
                <xsd:element ref="ns3:MediaServiceMetadata" minOccurs="0"/>
                <xsd:element ref="ns3:MediaServiceFastMetadata"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AutoKeyPoints" minOccurs="0"/>
                <xsd:element ref="ns3:MediaServiceKeyPoints" minOccurs="0"/>
                <xsd:element ref="ns3:MediaServiceObjectDetectorVersions" minOccurs="0"/>
                <xsd:element ref="ns3:lcf76f155ced4ddcb4097134ff3c332f" minOccurs="0"/>
                <xsd:element ref="ns5:TaxCatchAll"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CBD3CD-974E-459B-94F9-515D051B0EED" elementFormDefault="qualified">
    <xsd:import namespace="http://schemas.microsoft.com/office/2006/documentManagement/types"/>
    <xsd:import namespace="http://schemas.microsoft.com/office/infopath/2007/PartnerControls"/>
    <xsd:element name="Category" ma:index="8" nillable="true" ma:displayName="分類" ma:internalName="Category">
      <xsd:complexType>
        <xsd:complexContent>
          <xsd:extension base="dms:MultiChoice">
            <xsd:sequence>
              <xsd:element name="Value" maxOccurs="unbounded" minOccurs="0" nillable="true">
                <xsd:simpleType>
                  <xsd:restriction base="dms:Choice">
                    <xsd:enumeration value="分類A"/>
                    <xsd:enumeration value="分類B"/>
                    <xsd:enumeration value="分類C"/>
                  </xsd:restriction>
                </xsd:simpleType>
              </xsd:element>
            </xsd:sequence>
          </xsd:extension>
        </xsd:complexContent>
      </xsd:complexType>
    </xsd:element>
    <xsd:element name="_x56fa__x6709__x6a29__x9650_" ma:index="10" nillable="true" ma:displayName="固有権限" ma:description="継承を切って固有権限を設定した場合選択肢から「固有権限」を選択表示させます。" ma:internalName="_x56fa__x6709__x6a29__x9650_">
      <xsd:simpleType>
        <xsd:union memberTypes="dms:Text">
          <xsd:simpleType>
            <xsd:restriction base="dms:Choice">
              <xsd:enumeration value="固有権限"/>
            </xsd:restriction>
          </xsd:simpleType>
        </xsd:union>
      </xsd:simpleType>
    </xsd:element>
    <xsd:element name="_x56fa__x6709__x6a29__x9650__x8a73__x7d30_" ma:index="11" nillable="true" ma:displayName="固有権限詳細" ma:description="設定した権限の詳細を記入します" ma:internalName="_x56fa__x6709__x6a29__x9650__x8a73__x7d30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cbd3cd-974e-459b-94f9-515d051b0eed"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1390a13e-be29-4fa2-9473-5ab89b75d0e8"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Location" ma:index="28" nillable="true" ma:displayName="Location" ma:indexed="true" ma:internalName="MediaServiceLocation" ma:readOnly="true">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1bdbad-8cce-4222-901f-95b0bcf34682"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4fbecb-67c7-44e1-b4ee-62cbcbd3663c"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FB28263-5689-4082-8B4A-6AFC933E21FB}" ma:internalName="TaxCatchAll" ma:showField="CatchAllData" ma:web="{d91bdbad-8cce-4222-901f-95b0bcf346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cbd3cd-974e-459b-94f9-515d051b0eed">
      <Terms xmlns="http://schemas.microsoft.com/office/infopath/2007/PartnerControls"/>
    </lcf76f155ced4ddcb4097134ff3c332f>
    <Category xmlns="81CBD3CD-974E-459B-94F9-515D051B0EED" xsi:nil="true"/>
    <TaxCatchAll xmlns="b14fbecb-67c7-44e1-b4ee-62cbcbd3663c" xsi:nil="true"/>
    <_x56fa__x6709__x6a29__x9650_ xmlns="81CBD3CD-974E-459B-94F9-515D051B0EED" xsi:nil="true"/>
    <_x56fa__x6709__x6a29__x9650__x8a73__x7d30_ xmlns="81CBD3CD-974E-459B-94F9-515D051B0EED" xsi:nil="true"/>
  </documentManagement>
</p:properties>
</file>

<file path=customXml/itemProps1.xml><?xml version="1.0" encoding="utf-8"?>
<ds:datastoreItem xmlns:ds="http://schemas.openxmlformats.org/officeDocument/2006/customXml" ds:itemID="{78A38EAA-E324-41ED-B8F6-880D13D5F259}"/>
</file>

<file path=customXml/itemProps2.xml><?xml version="1.0" encoding="utf-8"?>
<ds:datastoreItem xmlns:ds="http://schemas.openxmlformats.org/officeDocument/2006/customXml" ds:itemID="{671993B4-681C-46D1-885F-339A02CABE28}"/>
</file>

<file path=customXml/itemProps3.xml><?xml version="1.0" encoding="utf-8"?>
<ds:datastoreItem xmlns:ds="http://schemas.openxmlformats.org/officeDocument/2006/customXml" ds:itemID="{0F77C2FB-D7DE-46CA-A65E-25EBAF8DAD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セグメント情報（年度別）_2022年度以降</vt:lpstr>
      <vt:lpstr>セグメント情報（四半期）_2022年度以降</vt:lpstr>
      <vt:lpstr>旧セグメント情報（年度別）_2022年度以前</vt:lpstr>
      <vt:lpstr>旧セグメント情報（四半期）_2022年度以前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樹子/Mikiko Otsuka</dc:creator>
  <cp:lastModifiedBy>大塚 樹子/Mikiko Otsuka</cp:lastModifiedBy>
  <dcterms:created xsi:type="dcterms:W3CDTF">2026-02-10T00:32:22Z</dcterms:created>
  <dcterms:modified xsi:type="dcterms:W3CDTF">2026-03-31T11:20:29Z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0x010100535678DA10A4B245931DA6BE7754EC2F</vt:lpwstr>
  </property>
</Properties>
</file>